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E001'!$B$2:$U$59</definedName>
    <definedName name="_xlnm.Print_Area" localSheetId="2">'50 E003'!$B$2:$U$49</definedName>
    <definedName name="_xlnm.Print_Area" localSheetId="3">'50 E004'!$B$2:$U$41</definedName>
    <definedName name="_xlnm.Print_Area" localSheetId="4">'50 E006'!$B$2:$U$39</definedName>
    <definedName name="_xlnm.Print_Area" localSheetId="5">'50 E007'!$B$2:$U$39</definedName>
    <definedName name="_xlnm.Print_Area" localSheetId="6">'50 E011'!$B$2:$U$61</definedName>
    <definedName name="_xlnm.Print_Area" localSheetId="7">'50 E012'!$B$2:$U$53</definedName>
    <definedName name="_xlnm.Print_Area" localSheetId="8">'50 J001'!$B$2:$U$31</definedName>
    <definedName name="_xlnm.Print_Area" localSheetId="9">'50 J002'!$B$2:$U$31</definedName>
    <definedName name="_xlnm.Print_Area" localSheetId="10">'50 J004'!$B$2:$U$31</definedName>
    <definedName name="_xlnm.Print_Area" localSheetId="11">'50 K012'!$B$2:$U$31</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S24" i="13"/>
  <c r="U24" i="13" s="1"/>
  <c r="R24" i="13"/>
  <c r="T23" i="13"/>
  <c r="S23" i="13"/>
  <c r="U23" i="13" s="1"/>
  <c r="R23" i="13"/>
  <c r="U19" i="13"/>
  <c r="U18" i="13"/>
  <c r="U17" i="13"/>
  <c r="U16" i="13"/>
  <c r="U15" i="13"/>
  <c r="U14" i="13"/>
  <c r="U13" i="13"/>
  <c r="U12" i="13"/>
  <c r="U11" i="13"/>
  <c r="T20" i="12"/>
  <c r="U20" i="12" s="1"/>
  <c r="S20" i="12"/>
  <c r="R20" i="12"/>
  <c r="T19" i="12"/>
  <c r="U19" i="12" s="1"/>
  <c r="S19" i="12"/>
  <c r="R19" i="12"/>
  <c r="U15" i="12"/>
  <c r="U14" i="12"/>
  <c r="U13" i="12"/>
  <c r="U12" i="12"/>
  <c r="U11" i="12"/>
  <c r="T20" i="11"/>
  <c r="U20" i="11" s="1"/>
  <c r="S20" i="11"/>
  <c r="R20" i="11"/>
  <c r="T19" i="11"/>
  <c r="U19" i="11" s="1"/>
  <c r="S19" i="11"/>
  <c r="R19" i="11"/>
  <c r="U15" i="11"/>
  <c r="U14" i="11"/>
  <c r="U13" i="11"/>
  <c r="U12" i="11"/>
  <c r="U11" i="11"/>
  <c r="T20" i="10"/>
  <c r="U20" i="10" s="1"/>
  <c r="S20" i="10"/>
  <c r="R20" i="10"/>
  <c r="T19" i="10"/>
  <c r="U19" i="10" s="1"/>
  <c r="S19" i="10"/>
  <c r="R19" i="10"/>
  <c r="U15" i="10"/>
  <c r="U14" i="10"/>
  <c r="U13" i="10"/>
  <c r="U12" i="10"/>
  <c r="U11" i="10"/>
  <c r="T20" i="9"/>
  <c r="U20" i="9" s="1"/>
  <c r="S20" i="9"/>
  <c r="R20" i="9"/>
  <c r="T19" i="9"/>
  <c r="U19" i="9" s="1"/>
  <c r="S19" i="9"/>
  <c r="R19" i="9"/>
  <c r="U15" i="9"/>
  <c r="U14" i="9"/>
  <c r="U13" i="9"/>
  <c r="U12" i="9"/>
  <c r="U11" i="9"/>
  <c r="T31" i="8"/>
  <c r="S31" i="8"/>
  <c r="U31" i="8" s="1"/>
  <c r="R31" i="8"/>
  <c r="T30" i="8"/>
  <c r="S30" i="8"/>
  <c r="U30" i="8" s="1"/>
  <c r="R30" i="8"/>
  <c r="U26" i="8"/>
  <c r="U25" i="8"/>
  <c r="U24" i="8"/>
  <c r="U23" i="8"/>
  <c r="U22" i="8"/>
  <c r="U21" i="8"/>
  <c r="U20" i="8"/>
  <c r="U19" i="8"/>
  <c r="U18" i="8"/>
  <c r="U17" i="8"/>
  <c r="U16" i="8"/>
  <c r="U15" i="8"/>
  <c r="U14" i="8"/>
  <c r="U13" i="8"/>
  <c r="U12" i="8"/>
  <c r="U11" i="8"/>
  <c r="T35" i="7"/>
  <c r="S35" i="7"/>
  <c r="U35" i="7" s="1"/>
  <c r="R35" i="7"/>
  <c r="T34" i="7"/>
  <c r="S34" i="7"/>
  <c r="U34" i="7" s="1"/>
  <c r="R34" i="7"/>
  <c r="U30" i="7"/>
  <c r="U29" i="7"/>
  <c r="U28" i="7"/>
  <c r="U27" i="7"/>
  <c r="U26" i="7"/>
  <c r="U25" i="7"/>
  <c r="U24" i="7"/>
  <c r="U23" i="7"/>
  <c r="U22" i="7"/>
  <c r="U21" i="7"/>
  <c r="U20" i="7"/>
  <c r="U19" i="7"/>
  <c r="U18" i="7"/>
  <c r="U17" i="7"/>
  <c r="U16" i="7"/>
  <c r="U15" i="7"/>
  <c r="U14" i="7"/>
  <c r="U13" i="7"/>
  <c r="U12" i="7"/>
  <c r="U11" i="7"/>
  <c r="T24" i="6"/>
  <c r="S24" i="6"/>
  <c r="U24" i="6" s="1"/>
  <c r="R24" i="6"/>
  <c r="T23" i="6"/>
  <c r="S23" i="6"/>
  <c r="U23" i="6" s="1"/>
  <c r="R23" i="6"/>
  <c r="U19" i="6"/>
  <c r="U18" i="6"/>
  <c r="U17" i="6"/>
  <c r="U16" i="6"/>
  <c r="U15" i="6"/>
  <c r="U14" i="6"/>
  <c r="U13" i="6"/>
  <c r="U12" i="6"/>
  <c r="U11" i="6"/>
  <c r="T24" i="5"/>
  <c r="S24" i="5"/>
  <c r="U24" i="5" s="1"/>
  <c r="R24" i="5"/>
  <c r="T23" i="5"/>
  <c r="S23" i="5"/>
  <c r="U23" i="5" s="1"/>
  <c r="R23" i="5"/>
  <c r="U19" i="5"/>
  <c r="U18" i="5"/>
  <c r="U17" i="5"/>
  <c r="U16" i="5"/>
  <c r="U15" i="5"/>
  <c r="U14" i="5"/>
  <c r="U13" i="5"/>
  <c r="U12" i="5"/>
  <c r="U11" i="5"/>
  <c r="T25" i="4"/>
  <c r="U25" i="4" s="1"/>
  <c r="S25" i="4"/>
  <c r="R25" i="4"/>
  <c r="T24" i="4"/>
  <c r="U24" i="4" s="1"/>
  <c r="S24" i="4"/>
  <c r="R24" i="4"/>
  <c r="U20" i="4"/>
  <c r="U19" i="4"/>
  <c r="U18" i="4"/>
  <c r="U17" i="4"/>
  <c r="U16" i="4"/>
  <c r="U15" i="4"/>
  <c r="U14" i="4"/>
  <c r="U13" i="4"/>
  <c r="U12" i="4"/>
  <c r="U11" i="4"/>
  <c r="T29" i="3"/>
  <c r="U29" i="3" s="1"/>
  <c r="S29" i="3"/>
  <c r="R29" i="3"/>
  <c r="T28" i="3"/>
  <c r="U28" i="3" s="1"/>
  <c r="S28" i="3"/>
  <c r="R28" i="3"/>
  <c r="U24" i="3"/>
  <c r="U23" i="3"/>
  <c r="U22" i="3"/>
  <c r="U21" i="3"/>
  <c r="U20" i="3"/>
  <c r="U19" i="3"/>
  <c r="U18" i="3"/>
  <c r="U17" i="3"/>
  <c r="U16" i="3"/>
  <c r="U15" i="3"/>
  <c r="U14" i="3"/>
  <c r="U13" i="3"/>
  <c r="U12" i="3"/>
  <c r="U11" i="3"/>
  <c r="T34" i="2"/>
  <c r="U34" i="2" s="1"/>
  <c r="S34" i="2"/>
  <c r="R34" i="2"/>
  <c r="T33" i="2"/>
  <c r="U33" i="2" s="1"/>
  <c r="S33" i="2"/>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<sst xmlns="http://schemas.openxmlformats.org/spreadsheetml/2006/main" count="1567" uniqueCount="585">
  <si>
    <t xml:space="preserve">    Tercer Trimestre 2018</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</si>
  <si>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</si>
  <si>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</si>
  <si>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</si>
  <si>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Tercer Trimestre 2018</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</si>
  <si>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</si>
  <si>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</si>
  <si>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</si>
  <si>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</si>
  <si>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</si>
  <si>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</si>
  <si>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</si>
  <si>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</si>
  <si>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</si>
  <si>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</si>
  <si>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</si>
  <si>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</si>
  <si>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</si>
  <si>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</si>
  <si>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</si>
  <si>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</si>
  <si>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</si>
  <si>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</si>
  <si>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</si>
  <si>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</si>
  <si>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</si>
  <si>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</si>
  <si>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</si>
  <si>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</si>
  <si>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</si>
  <si>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</si>
  <si>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</si>
  <si>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</si>
  <si>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</si>
  <si>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</si>
  <si>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</si>
  <si>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</si>
  <si>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</si>
  <si>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</si>
  <si>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consolidar las acciones de protección, promoción de la salud y prevención de enfermedades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</si>
  <si>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</si>
  <si>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</si>
  <si>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</si>
  <si>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</si>
  <si>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</si>
  <si>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</si>
  <si>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Prevalencia de obesidad en niños de 5 a 11 años de edad</t>
    </r>
    <r>
      <rPr>
        <i/>
        <sz val="10"/>
        <color indexed="30"/>
        <rFont val="Soberana Sans"/>
      </rPr>
      <t xml:space="preserve">
Indicador Seleccionado</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</si>
  <si>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</si>
  <si>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</si>
  <si>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</si>
  <si>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</si>
  <si>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</si>
  <si>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Porcentaje de cambio entre el año base y el año de registro de casos nuevos confirmados de VIH por transmisión vertical</t>
    </r>
    <r>
      <rPr>
        <i/>
        <sz val="10"/>
        <color indexed="30"/>
        <rFont val="Soberana Sans"/>
      </rPr>
      <t xml:space="preserve">
Indicador Seleccionado</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</si>
  <si>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</si>
  <si>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</si>
  <si>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</si>
  <si>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</si>
  <si>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</si>
  <si>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</si>
  <si>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Porcentaje de cobertura de vacunación con esquema completo en menores de un año</t>
    </r>
    <r>
      <rPr>
        <i/>
        <sz val="10"/>
        <color indexed="30"/>
        <rFont val="Soberana Sans"/>
      </rPr>
      <t xml:space="preserve">
Indicador Seleccionado</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</si>
  <si>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</si>
  <si>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</si>
  <si>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t>Propósito</t>
  </si>
  <si>
    <t>En la población derechohabiente del IMSS se reducen la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</si>
  <si>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</si>
  <si>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</si>
  <si>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</si>
  <si>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</si>
  <si>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</si>
  <si>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</si>
  <si>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</si>
  <si>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</si>
  <si>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</si>
  <si>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</si>
  <si>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</si>
  <si>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Estratégico-Eficacia-Semestral</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</si>
  <si>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</si>
  <si>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</si>
  <si>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</si>
  <si>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</si>
  <si>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</si>
  <si>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</si>
  <si>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</si>
  <si>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</si>
  <si>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B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</si>
  <si>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</si>
  <si>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</si>
  <si>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</si>
  <si>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</si>
  <si>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</si>
  <si>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</si>
  <si>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</si>
  <si>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</si>
  <si>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</si>
  <si>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</si>
  <si>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A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</si>
  <si>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</si>
  <si>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</si>
  <si>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</si>
  <si>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</si>
  <si>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</si>
  <si>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</si>
  <si>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</si>
  <si>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</si>
  <si>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</si>
  <si>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</si>
  <si>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</si>
  <si>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</si>
  <si>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</si>
  <si>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</si>
  <si>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Prevalencia de obesidad en niños de 5 a 11 años de edad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</si>
  <si>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</si>
  <si>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Porcentaje de cambio entre el año base y el año de registro de casos nuevos confirmados de VIH por transmisión vertical
</t>
    </r>
    <r>
      <rPr>
        <sz val="10"/>
        <rFont val="Soberana Sans"/>
        <family val="2"/>
      </rPr>
      <t>Sin Información,Sin Justificación</t>
    </r>
  </si>
  <si>
    <r>
      <t xml:space="preserve">Tasa de mortalidad por tuberculosis pulmonar
</t>
    </r>
    <r>
      <rPr>
        <sz val="10"/>
        <rFont val="Soberana Sans"/>
        <family val="2"/>
      </rPr>
      <t xml:space="preserve"> Causa : Es información preliminar el numerador, del número de decesos de tuberculosis de localización pulmonar. La información está hasta el mes de septiembre de 2018.  Efecto: Se cuente con una tasa de mortalidad más baja a la programada. Otros Motivos:Información preliminar, al mes de septiembre de 2018. La División de Información en Salud es la responsable de proporcionar este dato.</t>
    </r>
  </si>
  <si>
    <r>
      <t xml:space="preserve">Esperanza de Vida al Nacer
</t>
    </r>
    <r>
      <rPr>
        <sz val="10"/>
        <rFont val="Soberana Sans"/>
        <family val="2"/>
      </rPr>
      <t>Sin Información,Sin Justificación</t>
    </r>
  </si>
  <si>
    <r>
      <t xml:space="preserve">Porcentaje de cobertura de vacunación con esquema completo en menores de un año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</si>
  <si>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</si>
  <si>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</si>
  <si>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</si>
  <si>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 xml:space="preserve"> Causa : Información estimada  al mes de junio de 2018, con base en el comportamiente observado de enero - abril del mismo año  La cobertura estimada  fue de 12.45%, cifra por debajo de la meta establecida para el primer semestre  (15.0%)  Los factores que influyeron para obtener estos resultados fueron:  - Retraso en la licitación de algunos insumos necesarios para realizar el papanicolau.  - Incremnto de 5.7% de la población de mujeres derechohabientes de 25 a 64 años de edad, con respecto a 2017.  - Alta rotación de personal de enfermería que realiza la detección. Efecto: El logro obtenido permitió identificar oportunamente 2,508 casos de displasia cervical leve y moderada; 376 de displasia severa y cáncer in situ, así como 374 de tumor maligno del cuello del útero en mujeres de 25 años y más.  Otros Motivos:</t>
    </r>
  </si>
  <si>
    <r>
      <t xml:space="preserve">Cobertura de detección de primera vez de diabetes mellitus en población derechohabiente de 20 años y más
</t>
    </r>
    <r>
      <rPr>
        <sz val="10"/>
        <rFont val="Soberana Sans"/>
        <family val="2"/>
      </rPr>
      <t xml:space="preserve"> Causa : Información estimada  al mes de junio de 2018, con base en el comportamiente observado del primer cuatrimestre del año  La cobertura alcanzada fue  11.5%, cifra por debajo de la meta establecida para el primer semestre  (16.5%)  Los factores que influyeron para obtener estos resultados fueron:  - Retraso en la licitación de tiras reactivas y lancetas para la toma de la glucosa capilar, lo que ocasionó desabasto en algunas delegaciones del sistema.  - Incremento de la población derechohabiente de 20 años y más en dos millones de 2017 a 2018. Efecto: El logro obtenido permitió identificar a  188,202 sospechosos de padecer diabetes mellitus, los cuales se derivaron  con el médico familiar para su confirmación. Otros Motivos:</t>
    </r>
  </si>
  <si>
    <r>
      <t xml:space="preserve">Cobertura con esquemas completos de vacunación en niños de un año de edad.
</t>
    </r>
    <r>
      <rPr>
        <sz val="10"/>
        <rFont val="Soberana Sans"/>
        <family val="2"/>
      </rPr>
      <t xml:space="preserve"> Causa : Información estimada al mes de junio de 2018, con fundamento en el número de dosis aplicadas de vacunas del esquema básico reportadas por la Delegaciones.   El logro a junio se encuentra por debajo del referente nacional de 95%, los factores queafectaro en el logro de la meta fueron:  retraso en la adquisición de la vacuna Triple viral desde el 2017, donde se adquirieron únicamente 374,000 dosis de 1¿433,250 dosis del requerimiento total, lo que ocasiona que no se contará con reservas de esta vacuna.  Respecto al abasto 2018 de vacuna triple viral, sucedió lo siguiente:  1.- Retraso en la liberación de lotes por parte de COFEPRIS.  2.- Entregas inoportunas de los productos por parte del proveedor.  La distribución de esta vacuna inició el pasado viernes 6 de julio y se están estableciendo estrategias para actualizar los esquemas de vacunación pendientes.  Efecto: El mantenimiento de la erradicación, eliminación y control epidemiológico de las enfermedades inmunoprevenibles sugiere que las coberturas de vacunación, aún con la problemática de abastecimiento, se encuentran en niveles de eficacia. Otros Motivos:</t>
    </r>
  </si>
  <si>
    <r>
      <t xml:space="preserve">Cobertura de detección de cáncer de mama por mastografía en mujeres de 50 a 69 años
</t>
    </r>
    <r>
      <rPr>
        <sz val="10"/>
        <rFont val="Soberana Sans"/>
        <family val="2"/>
      </rPr>
      <t xml:space="preserve"> Causa : Información estimada al mes de junio de 2018 , con base en el comportamiento observado de enero - abril del mismo año.    La cobertura  estimada a junio fue de 9.76%, cifra ligeramente inferior a la meta programada para el primer semestre del año (10.0%).   Los factores que influyeron en el logro de la meta fueron:   - Incremento de 6.5% de la población de mujeres derechohabientes de 50 a 69 años, con respecto a 2017.   - Alta rotación de personal de enfermería que realiza la detección. Efecto: El logro alcanzado  permitió identificar  oportunamente 944 casos de  tumor maligno de mama en mujeres de 50 y más años, mismas que recibieron tratamiento. Otros Motivos:</t>
    </r>
  </si>
  <si>
    <r>
      <t xml:space="preserve">Cobertura de detección de hipertensión arterial en población derechohabiente de 20 años y más
</t>
    </r>
    <r>
      <rPr>
        <sz val="10"/>
        <rFont val="Soberana Sans"/>
        <family val="2"/>
      </rPr>
      <t xml:space="preserve"> Causa : Información estimada  al mes de junio de 2018, con base en el comportamiento observado del primer cuatrimestre del año     La cobertura fue de 37.32%, cifra sauperior a la meta establecida para el primer semestre  (32.5%).     Los factores que influyeron para obtener estos resultados fueron:    - Derivación de los derchohabientes que acuden a la unidad médica por otro motivo  a los módulos PREVENIMSS.    - Estrategias de difusión dentro de las unidades médicas para que la población se realice la detección.  Efecto: El logro obtenido permitió identificar a 1 479,378 sospechosos de padecer hipertensión arterial, los cuales se derivaron  con el médico familiar para su confirmación.  Otros Motivos:</t>
    </r>
  </si>
  <si>
    <r>
      <t xml:space="preserve">Logro de aceptantes en relación con la meta programada en consulta externa de medicina familiar
</t>
    </r>
    <r>
      <rPr>
        <sz val="10"/>
        <rFont val="Soberana Sans"/>
        <family val="2"/>
      </rPr>
      <t xml:space="preserve"> Causa : Información estimada al mes de junio con base en información al primer trimestre de 2018.    Este resultado, obedece a una inconsistencia en el registro de la información de las fuentes primarias al sistema institucional de captura. Misma que esta representando la perdida de captura de algunas claves de métodos anticonceptivos. Efecto: El no saber el grado de perdida de captura, hace dificil establecer con certeza que porcentaje de la población en edad fertil esta siendo motivo de una necesidad insatisfecha. Otros Motivos:</t>
    </r>
  </si>
  <si>
    <r>
      <t xml:space="preserve">Porcentaje de entrevistas de consejería anticonceptiva
</t>
    </r>
    <r>
      <rPr>
        <sz val="10"/>
        <rFont val="Soberana Sans"/>
        <family val="2"/>
      </rPr>
      <t xml:space="preserve"> Causa : Información estimada al mes de septiembre de 2018.       Las entrevistas de consejería otorgadas por trabajo social y enfermería son otorgadas tanto a mujeres como hombres sin distinción siendo, agrupadas en mujeres no embarazadas, postparto (incluye postcésarea) y postaborto, varones, adolescentes y  usuarias de métodos de planificación familiar, herramienta bien establecida dentro del otorgamiento de servicios de planificación familiar.                                                                                  Efecto: La aceptación de un método anticonceptivo en forma informada, favorece la continuidad en el uso del mismo, a fin de planear un embarazo en las mejores condiciones de salud. Otros Motivos:</t>
    </r>
  </si>
  <si>
    <r>
      <t xml:space="preserve">Porcentaje de medición de peso y talla en población derechohabiente
</t>
    </r>
    <r>
      <rPr>
        <sz val="10"/>
        <rFont val="Soberana Sans"/>
        <family val="2"/>
      </rPr>
      <t xml:space="preserve"> Causa : Información estimada al mes de septiembre de 2018, con base en el comportamiento mensual observado enero- julio de 2018.     El logro estimado a septiembre de 2018 fue  de 52.67% cifra cercana a la meta establecida (53.0%).   Los factores que influyeron en el logro de la meta fueron:   - Derivación de los derchohabientes que acuden a la unidad médica por otro motivo  a los módulos PREVENIMSS.   - Estrategias de difusión dentro de las unidades médicas para que la población se realice la detección.  Efecto: El logro alcanzado permitió que a 24,977,159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</si>
  <si>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estimada al mes de septiembre de 2018, con base en el comportamiento mensual observado enero- julio de 2018.        El logro estimado a septiembre de 2018 fue de 91.3% cifra inferior a la meta establecida (95%).       Los factores que afectaron el logro de la meta fueron: Desabasto de algunos insumos para llevar a cabo las detecciones y de vacunas, así como rotación del personal de enfermería que otorga la atención preventiva integrada. Efecto: El  logro obtenido permitió que de cada 100 derechohabientes se otorgara a 91 de ellos el conjunto de acciones educativas, de nutrición, prevención, protección específica, detección oportuna y salud reproductiva que les corresponde de acuerdo a su grupo de edad y sexo.  Otros Motivos:</t>
    </r>
  </si>
  <si>
    <t>E003</t>
  </si>
  <si>
    <t>Atención a la Salud en el Trabajo</t>
  </si>
  <si>
    <t>4 - Oportunidad en la atención curativa, quirúrgica, hospitalaria y de rehabilitación</t>
  </si>
  <si>
    <t>Contribuir a reducir los riesgos que afectan la salud de la población en cualquier actividad de su vida mediante el otorgamiento de los servicios de Salud en el Trabajo.</t>
  </si>
  <si>
    <t>AÑOS</t>
  </si>
  <si>
    <r>
      <t>Tasa de mortalidad por riesgos de trabajo</t>
    </r>
    <r>
      <rPr>
        <i/>
        <sz val="10"/>
        <color indexed="30"/>
        <rFont val="Soberana Sans"/>
      </rPr>
      <t xml:space="preserve">
Indicador Seleccionado</t>
    </r>
  </si>
  <si>
    <t>Resulta de la división del número de defunciones por accidentes y enfermedades de trabajo entre el total de trabajadores asegurados en el Seguro de Riesgos de Trabajo multiplicado por 10,000; anualmente</t>
  </si>
  <si>
    <t>tasa</t>
  </si>
  <si>
    <t>Los Trabajadores asegurados acuden a los servicios de Salud en el Trabajo para tener acceso a las prestaciones que por ley les corresponden en el ramo de Riesgos de Trabajo e Invalidez y Vida.</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</si>
  <si>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</si>
  <si>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</si>
  <si>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</si>
  <si>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</si>
  <si>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</si>
  <si>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</si>
  <si>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</si>
  <si>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</si>
  <si>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</si>
  <si>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</si>
  <si>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</si>
  <si>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</si>
  <si>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</si>
  <si>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</si>
  <si>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</si>
  <si>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</si>
  <si>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</si>
  <si>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</si>
  <si>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Cumplimiento promedio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</si>
  <si>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</si>
  <si>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</si>
  <si>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</si>
  <si>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</si>
  <si>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</si>
  <si>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</si>
  <si>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</si>
  <si>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</si>
  <si>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</si>
  <si>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</si>
  <si>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</si>
  <si>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</si>
  <si>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</si>
  <si>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</si>
  <si>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</si>
  <si>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</si>
  <si>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</si>
  <si>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</si>
  <si>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</si>
  <si>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</si>
  <si>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Las diversas áreas que conforman Salud en el Trabajo han atendido las solicitudes de servicio, de igual manera implementaron diversas estrategias para cumplir con las metas de las actividades sustantivas de esta Coordinación. Efecto: Se registra un cumplimiento de acuerdo a lo planeado. Otros Motivos:</t>
    </r>
  </si>
  <si>
    <r>
      <t xml:space="preserve">Porcentaje de dictámenes de incapacidad permanente y de defunción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dictamenes con problemas en el modulo electrónico de salud en el trabajo. Efecto: 7.03 puntos por debajo de la meta. El resultado permitirá a las delegaciones visualizar el área de oportunidad para mejorar en el proceso de autorización de dictámenes. Otros Motivos:</t>
    </r>
  </si>
  <si>
    <r>
      <t xml:space="preserve">Porcentaje de dictámenes de invalidez autorizados oportunamente
</t>
    </r>
    <r>
      <rPr>
        <sz val="10"/>
        <rFont val="Soberana Sans"/>
        <family val="2"/>
      </rPr>
      <t xml:space="preserve"> Causa : A partir del 4to trimestre de 2017 se modificó la forma de supervisar la información, siendo aún más estricta al revisar los casos de forma nominal. Efecto: Durante el 3er trimestre de 2018, se obtuvo un resultado de 9.8% por debajo de la meta, que representa una mejora de 2.44 puntos respecto al trimestre anterior. Otros Motivos:</t>
    </r>
  </si>
  <si>
    <r>
      <t xml:space="preserve">Porcentaje de variación de la tasa de accidentes de trabajo en empresas intervenidas con programas preventivos de Seguridad en el Trabajo
</t>
    </r>
    <r>
      <rPr>
        <sz val="10"/>
        <rFont val="Soberana Sans"/>
        <family val="2"/>
      </rPr>
      <t xml:space="preserve"> Causa : Ha existido mayor compromiso de los patrones a los que se les han realizado programas preventivos de seguridad e higiene en el trabajo, disminuyendo los accidentes de trabajo.  Efecto: El indicador registra un valor de 26.9 por ciento, que representa una variación de 3.4% por encima de la referencia de 26 por ciento. Otros Motivos:</t>
    </r>
  </si>
  <si>
    <r>
      <t xml:space="preserve">Porcentaje de Satisfacción de Empresas Usuarias de los Servicios de Seguridad en el Trabajo
</t>
    </r>
    <r>
      <rPr>
        <sz val="10"/>
        <rFont val="Soberana Sans"/>
        <family val="2"/>
      </rPr>
      <t xml:space="preserve"> Causa : Las empresas que contestaron la encuesta, refieren que si están conformes y satisfechas con el servicio prestado por el personal  de Seguridad en el Trabajo del IMSS. Efecto: 1 punto por arriba de la meta. Otros Motivos:</t>
    </r>
  </si>
  <si>
    <r>
      <t xml:space="preserve">Cumplimiento promedio de las acciones en calificación de accidentes y enfermedades de trabajo y dictaminación de incapacidades permanentes y defunciones.
</t>
    </r>
    <r>
      <rPr>
        <sz val="10"/>
        <rFont val="Soberana Sans"/>
        <family val="2"/>
      </rPr>
      <t xml:space="preserve"> Causa : En los servicios de Salud en el Trabajo se ha tenido oportunidad de otorgar el servicio solicitado por los trabajadores. Efecto: Cumplimiento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</si>
  <si>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Efecto: Cumplimiento con respecto a la meta. Otros Motivos:</t>
    </r>
  </si>
  <si>
    <r>
      <t xml:space="preserve">Porcentaje de Dictamenes de Invalidez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Efecto: Registrar un cumplimiento  sin variacion respecto a la meta, lo que permite que la persona asegurada acceda a las prestaciones de manera más oportuna.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</si>
  <si>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se incrementó a lo planeado, registrándose un 3.2 por ciento superior a la referencia planeada.  Efecto: Mayor número de trabajadores capacitados en materia de seguridad e higiene en el trabajo, para efecto de la prevención de accidentes y enfermedades laborales. Otros Motivos:</t>
    </r>
  </si>
  <si>
    <r>
      <t xml:space="preserve">Porcentaje de cumplimiento en la elaboración de estudios y programas preventivos de seguridad en el trabajo
</t>
    </r>
    <r>
      <rPr>
        <sz val="10"/>
        <rFont val="Soberana Sans"/>
        <family val="2"/>
      </rPr>
      <t xml:space="preserve"> Causa : Las empresas aceptaron el apoyo del Instituto y facilitaron el desempeño de los  Especialistas en Seguridad en el Trabajo, para la elaboración de Estudios y Programas Preventivos de Seguridad e Higiene en el Trabajo, con el fin de coadyuvar en la prevención de los accidentes y enfermedades laborales. Efecto: Mayor número de empresas con condiciones de seguridad e higiene en el trabajo, dignas para los trabajadores que en éstas laboran. Otros Motivos:</t>
    </r>
  </si>
  <si>
    <r>
      <t xml:space="preserve">Porcentaje de seguimientos realizados en empresas con programas preventivos de seguridad en el trabajo.
</t>
    </r>
    <r>
      <rPr>
        <sz val="10"/>
        <rFont val="Soberana Sans"/>
        <family val="2"/>
      </rPr>
      <t xml:space="preserve"> Causa : En razón de la atención dedicada a la elaboración de Estudios y Programas Preventivos de Seguridad e Higiene en el Trabajo, motivó en el trimestre, la disminución de los seguimientos en 3.56 por ciento puntos porcentuales con relación a la referencia de 73 por ciento en este indicador. Efecto: Disminución de orientaciones y asesorías a las empresas para el cumplimiento de las disposiciones de prevención referidas en los Programas Preventivos de Seguridad e Higiene en el Trabajo. Otros Motivos:</t>
    </r>
  </si>
  <si>
    <r>
      <t xml:space="preserve">Porcentaje de Calificación de los probables riesgos de trabajo
</t>
    </r>
    <r>
      <rPr>
        <sz val="10"/>
        <rFont val="Soberana Sans"/>
        <family val="2"/>
      </rPr>
      <t xml:space="preserve"> Causa : Los trabajadores asegurados no se han presentado a continuar con su tramite posterior a la atención médica inicial en el Instituto, aunado con la situación que la mayoría de las delegaciones no se ha concluido con el tramite de contratación de empresa que les brinda el servicio de correo certificado que permita enviar los formatos ST-7 y ST-9 al patrón, situaciones que no permiten concluir con el trámite de calificación del riesgo de trabajo. Efecto: 13.52 puntos por debajo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</si>
  <si>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</si>
  <si>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</si>
  <si>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</si>
  <si>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</si>
  <si>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</si>
  <si>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</si>
  <si>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</si>
  <si>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</si>
  <si>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r>
      <t>Gasto en Investigación Científica y Desarrollo Experimental (GIDE) ejecutado por la Instituciones de Educación Superior (IES) respecto al Producto Interno Bruto (PIB)</t>
    </r>
    <r>
      <rPr>
        <i/>
        <sz val="10"/>
        <color indexed="30"/>
        <rFont val="Soberana Sans"/>
      </rPr>
      <t xml:space="preserve">
Indicador Seleccionado</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</si>
  <si>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</si>
  <si>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r>
      <t>Investigadores que pertenecen al Sistema Nacional de Investigadores</t>
    </r>
    <r>
      <rPr>
        <i/>
        <sz val="10"/>
        <color indexed="30"/>
        <rFont val="Soberana Sans"/>
      </rPr>
      <t xml:space="preserve">
</t>
    </r>
  </si>
  <si>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</si>
  <si>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r>
      <t>Impacto de las Publicaciones Científicas generadas por el IMSS, en las áreas de conocimiento médico científico.</t>
    </r>
    <r>
      <rPr>
        <i/>
        <sz val="10"/>
        <color indexed="30"/>
        <rFont val="Soberana Sans"/>
      </rPr>
      <t xml:space="preserve">
</t>
    </r>
  </si>
  <si>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</si>
  <si>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</si>
  <si>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</si>
  <si>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</si>
  <si>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</si>
  <si>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</si>
  <si>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A Recursos humanos formados en Maestrías y Doctorados.</t>
  </si>
  <si>
    <r>
      <t>Protocolos de Investigación Científica y Desarrollo Tecnológico relacionados a los Temas Prioritarios de Investigación en Salud</t>
    </r>
    <r>
      <rPr>
        <i/>
        <sz val="10"/>
        <color indexed="30"/>
        <rFont val="Soberana Sans"/>
      </rPr>
      <t xml:space="preserve">
</t>
    </r>
  </si>
  <si>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</si>
  <si>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</si>
  <si>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</si>
  <si>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</si>
  <si>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</si>
  <si>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</si>
  <si>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</si>
  <si>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</si>
  <si>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</si>
  <si>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</si>
  <si>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</si>
  <si>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</si>
  <si>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Gasto en Investigación Científica y Desarrollo Experimental (GIDE) ejecutado por la Instituciones de Educación Superior (IES) respecto al Producto Interno Bruto (PIB)
</t>
    </r>
    <r>
      <rPr>
        <sz val="10"/>
        <rFont val="Soberana Sans"/>
        <family val="2"/>
      </rPr>
      <t>Sin Información,Sin Justificación</t>
    </r>
  </si>
  <si>
    <r>
      <t xml:space="preserve">Investigadores que pertenecen al Sistema Nacional de Investigadores
</t>
    </r>
    <r>
      <rPr>
        <sz val="10"/>
        <rFont val="Soberana Sans"/>
        <family val="2"/>
      </rPr>
      <t>Sin Información,Sin Justificación</t>
    </r>
  </si>
  <si>
    <r>
      <t xml:space="preserve">Impacto de las Publicaciones Científicas generadas por el IMSS, en las áreas de conocimiento médico científico.
</t>
    </r>
    <r>
      <rPr>
        <sz val="10"/>
        <rFont val="Soberana Sans"/>
        <family val="2"/>
      </rPr>
      <t xml:space="preserve"> Causa : La causa fue debido a que durante el periodo de reporte,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el IMSS continúa siendo  pionero entre las Instituciones de Salud Mexicanas, al adoptar éste innovador sistema de evaluación. Efecto: El efecto de la evaluación al valorar el cuartil de las Revistas con Factor de Impacto en que se publican resultados de Investigación, ha motivado al Personal Institucional para publicar artículos científicos en Revistas con alto impacto Internacional y de vanguardia para cada Área de Conocimiento Médico Científico; logrando el cumplimiento de la meta propuesta para el periodo de reporte.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En el segundo semestre del 2018, Clarivate Analytics realizó la actualización del Journal Citation Report, con lo que las revistas médico científicas tuvieron un ajuste en su ubicación por cuartiles, según el área de conocimiento al que pertenecen. </t>
    </r>
  </si>
  <si>
    <r>
      <t xml:space="preserve">Porcentaje de Publicaciones Científicas con Factor de Impacto.
</t>
    </r>
    <r>
      <rPr>
        <sz val="10"/>
        <rFont val="Soberana Sans"/>
        <family val="2"/>
      </rPr>
      <t xml:space="preserve"> Causa : La causa fue debido a que durante primer semestre del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un variación positiva de 26.63% (90)  y 5.68% (23), comparado con lo reportado para los mismos periodos en los ejercicio 2016 y 2017,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</si>
  <si>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Porcentaje de Publicaciones Científicas Indizadas
</t>
    </r>
    <r>
      <rPr>
        <sz val="10"/>
        <rFont val="Soberana Sans"/>
        <family val="2"/>
      </rPr>
      <t xml:space="preserve"> Causa : La causa fue debido a que durante primer semestre del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para cada Área de Conocimiento Médico Científico. Efecto: El efecto fue una disminución en el porcentaje de resultados de investigación científica generados por Personal Institucional que fueron publicados en las Revistas Indizadas; no obstante, en el número absoluto de publicaciones indizadas se registran variaciones de  4.83% (+25)  y  -1.45% (-8), respecto a los mismos periodos de reporte en los ejercicios 2016 y 2017.  Destaca que el número total de publicaciones científicas generadas por el IMSS (denominador del presente indicador), registra incrementos de 6.52% (53)  y  5.74% (47), respecto a los mismos periodos de reporte en los ejercicios 2016 y 2017.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</si>
  <si>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Protocolos de Investigación Científica y Desarrollo Tecnológico relacionados a los Temas Prioritarios de Investigación en Salud
</t>
    </r>
    <r>
      <rPr>
        <sz val="10"/>
        <rFont val="Soberana Sans"/>
        <family val="2"/>
      </rPr>
      <t xml:space="preserve"> Causa : 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El impulso institucional se ha conjuntado con el interés del personal para  desarrollar  actividades de investigación en salud.</t>
    </r>
  </si>
  <si>
    <r>
      <t xml:space="preserve">Culminación en cursos de maestría y doctorado
</t>
    </r>
    <r>
      <rPr>
        <sz val="10"/>
        <rFont val="Soberana Sans"/>
        <family val="2"/>
      </rPr>
      <t>Sin Información,Sin Justificación</t>
    </r>
  </si>
  <si>
    <r>
      <t xml:space="preserve">Protocolos de Investigación Científica y Desarrollo Tecnológico Autorizados.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En éste sentido, durante el 2018 se ha consolidado la integración y funcionamiento de los Comités de Ética en Investigación (CEI) en apego a lineamientos establecidos por la Comisión Nacional de Bioética (CONBIOETICA); siendo así, éstos Comités   se suman en la evaluación de los Protocolos de Investigación en Salud que son sometidos por Personal del IMSS, emitiendo dictamenes como i) Autorizado, ii) Modificar y Volver a Presentar,  y como iii) No Autorizado.  Respecto al número de Protocolos de Investigación que se mantienen en periodo de evaluación, al ser dictaminados como Modificar y Volver a Presentar, destacan los incrementos del 83% (455) y 33.6% (251),  en comparación a lo registrado en los ejercicios 2016 y 2017;  con ello, disminuyó el número de Protocolos Autorizados al ser sometidos conjuntamente a CLIS y CLEI. Efecto: El efecto fue un menor número de Protocolos de Investigación Científica y Desarrollo Tecnológico, propuestos por personal institucional, que fueron autorizados para su desarrollo.  Destaca el hecho, se ha incrementado la calidad de los Protocolos de Investigación Científica y Desarrollo Tecnológico autorizados para su desarrollo en el IMSS, ante la evaluación conjunta de los mismos ante CLIS y CEI.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</si>
  <si>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que los Comités Locales de Investigación en Salud del IMSS se encuentran en proceso de renovación de la vigencia de sus registros ante la Comisión Federal para la Protección contra Riesgos Sanitarios (COFEPRIS); a 1.5% de cumplir con la meta propuesta.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</si>
  <si>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evaluación y dictamen. Efecto: El efecto fue el dictamen de Protocolos de Investigación Científica y Desarrollo Tecnológico que fueron elaborados por personal institucional para ser sometidos a  evaluación y dictamen;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</si>
  <si>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</si>
  <si>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</si>
  <si>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</si>
  <si>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</si>
  <si>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</si>
  <si>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r>
      <t>Porcentaje de población con aseguramiento público en salud que usa servicios públicos de atención médica</t>
    </r>
    <r>
      <rPr>
        <i/>
        <sz val="10"/>
        <color indexed="30"/>
        <rFont val="Soberana Sans"/>
      </rPr>
      <t xml:space="preserve">
Indicador Seleccionado</t>
    </r>
  </si>
  <si>
    <t>Resulta de restar al cien por ciento de la población la suma del porcentaje de población sin aseguramiento público y el porcentaje de población que teniendo aseguramiento público de salud utiliza servicios privados de atención médica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</si>
  <si>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</si>
  <si>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</si>
  <si>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</si>
  <si>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</si>
  <si>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</si>
  <si>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</si>
  <si>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</si>
  <si>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</si>
  <si>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</si>
  <si>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</si>
  <si>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</si>
  <si>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</si>
  <si>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</si>
  <si>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</si>
  <si>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</si>
  <si>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</si>
  <si>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</si>
  <si>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</si>
  <si>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</si>
  <si>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semestre t)/(Número de transacciones de asignación o localización de Número de Seguridad Social (NSS) totales al semestre t))x100</t>
  </si>
  <si>
    <t>Gestión-Eficacia-Semestral</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</si>
  <si>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</si>
  <si>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</si>
  <si>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semestre t ) / (Total de actos de fiscalización concluidos al semestre t))x 100</t>
  </si>
  <si>
    <r>
      <t xml:space="preserve">Porcentaje de población con aseguramiento público en salud que usa servicios públicos de atención médica
</t>
    </r>
    <r>
      <rPr>
        <sz val="10"/>
        <rFont val="Soberana Sans"/>
        <family val="2"/>
      </rPr>
      <t>Sin Información,Sin Justificación</t>
    </r>
  </si>
  <si>
    <r>
      <t xml:space="preserve">Tasa de variación bianual en el número de población derechohabiente adscrita a unidad de medicina familiar.
</t>
    </r>
    <r>
      <rPr>
        <sz val="10"/>
        <rFont val="Soberana Sans"/>
        <family val="2"/>
      </rPr>
      <t xml:space="preserve"> Causa : Con información al mes de mayo de 2018, la tasa de variación bianual de la población derechohabiente adscrita, respecto al periodo enero-junio de 2016, fue de 4.69%.   Al facilitar el cumplimiento voluntario de los patrones y el ejercicio de los derechos de asegurados y derechohabientes, las estrategias del IMSS Digital y del Nuevo Modelo de Atención Institucional se han traducido en una mayor cobertura de la seguridad social. Efecto: Mayor cobertura de seguridad social. Otros Motivos:Se reporta información del periodo enero-mayo de 2018, debido a que como se específica en la ficha técnica correspondiente, esta información se genera 20 días naturales después del cierre del semestre. La información al mes de junio estará disponible para el reporte del segundo semestre de 2018.</t>
    </r>
  </si>
  <si>
    <r>
      <t xml:space="preserve">Tasa de variación bianual en la recaudación por ingresos obrero-patronales.
</t>
    </r>
    <r>
      <rPr>
        <sz val="10"/>
        <rFont val="Soberana Sans"/>
        <family val="2"/>
      </rPr>
      <t xml:space="preserve"> Causa : Con información al mes de junio de 2018, la tasa de variación bianual  en la recaudación por ingresos obrero-patronales, respecto al periodo enero-junio de 2016, fue de 18.75%.   Las dos estrategias del IMSS, IMSS Digital y una mejor fiscalización, tienen un efecto positivo en la formalización del empleo y en mejores salarios, lo que a su vez incrementa el ingreso obrero-patronal. Efecto: Mayor recaudación.    Otros Motivos:De acuerdo a lo especifícado en la ficha técnica correspondiente, la cifra de ingresos al mes de junio es preliminar. La cifra definitiva se publica a partir el día 17 hábil del mes inmediato posterior al mes que se reporta.</t>
    </r>
  </si>
  <si>
    <r>
      <t xml:space="preserve">Razón de la mora en días de emisión
</t>
    </r>
    <r>
      <rPr>
        <sz val="10"/>
        <rFont val="Soberana Sans"/>
        <family val="2"/>
      </rPr>
      <t xml:space="preserve"> Causa : Con información al mes de junio de 2018, la razón de la mora en días de emisión fue de 30.82 días.   Las acciones en materia de cobranza permitieron mantener la proporción de la mora dentro de los límites esperados, con lo cual se cumplió la meta aprobada del periodo en 98%. Efecto: Menor cartera en mora.  En el marco del Nuevo Modelo de Fiscalización, durante la presente Administración inició la segmentación de la cartera de créditos fiscales considerando, entre otros criterios, el tipo de patrón deudor, y monto, tipo y antigüedad de los adeudos, lo que ha tenido un impacto positivo en la recuperación de créditos Otros Motivos:Se reporta información del periodo enero-junio.</t>
    </r>
  </si>
  <si>
    <r>
      <t xml:space="preserve">Porcentaje de las cuotas obrero-patronales pagadas oportunamente.
</t>
    </r>
    <r>
      <rPr>
        <sz val="10"/>
        <rFont val="Soberana Sans"/>
        <family val="2"/>
      </rPr>
      <t xml:space="preserve"> Causa : Con información al mes de abril de 2018, el porcentaje de las cuotas obrero-patronales pagadas oportunamente fue de 93.66%.   Las acciones llevadas en cabo en materia de cobranza y fiscalización se traducen en la reducción de los tiempos y costos que los patrones y ciudadanos invierten en realizar trámites relacionados con el pago de cuotas.  Efecto: Recaudación oportuna.   Las acciones llevadas en cabo en materia de cobranza y fiscalización continúan centrándose en el desarrollo de un nuevo modelo de atención institucional, que incorpora la creación de una unidad de grandes patrones, la ejecución de un nuevo modelo integral de fiscalización, y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Otros Motivos:Se reporta información del periodo enero-abril.   De acuerdo a lo especificado en la ficha técnica correspondiente, esta información se genera dos meses después de la Emisión Mensual Anticipada, por lo que la información al primer semestre estará disponible hasta fines del mes de septiembre. </t>
    </r>
  </si>
  <si>
    <r>
      <t xml:space="preserve">Tasa de variación bianual en el salario base asociado a asegurados trabajadores.
</t>
    </r>
    <r>
      <rPr>
        <sz val="10"/>
        <rFont val="Soberana Sans"/>
        <family val="2"/>
      </rPr>
      <t xml:space="preserve"> Causa : Con información al mes de junio de 2018, la tasa de variación bianual en el salario base asociado a asegurados trabajadores,  respecto al periodo enero-junio de 2016, fue de 10.44%.   Las dos estrategias del IMSS, IMSS Digital y una mejor fiscalización, tienen un efecto positivo en la formalización del empleo y en el correcto registro del salario de trabajadores. Efecto: Mejores salarios para el empleo formal. Otros Motivos:De acuerdo a lo especificado en la ficha técnica correspondiente, la cifra del salario base asociado a asegurados trabajadores al mes de junio es preliminar. La cifra definitiva se publica a partir del día 12 hábil del mes inmediato posterior al mes que se reporta.</t>
    </r>
  </si>
  <si>
    <r>
      <t xml:space="preserve">Tasa de variación bianual en el número de asegurados trabajadores.
</t>
    </r>
    <r>
      <rPr>
        <sz val="10"/>
        <rFont val="Soberana Sans"/>
        <family val="2"/>
      </rPr>
      <t xml:space="preserve"> Causa : Con información al mes de junio de 2018, la tasa de variación bianual en el número de asegurados trabajadores, respecto al periodo enero-junio de 2016, fue de 8.87%.   Las dos estrategias del IMSS, IMSS Digital y una mejor fiscalización, tienen un efecto positivo en la formalización del empleo. Efecto: Más empleo formal. Por quinto año consecutivo, la afiliación al IMSS presenta un comportamiento muy favorable, con una creación de empleo por encima del crecimiento económico.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al doble que la economía, lo que es evidencia de un proceso de formalización del empleo sin precedente. Otros Motivos:De acuerdo a lo especificado en la ficha técnica correspondiente,la cifra de asegurados trabajadores al mes de junio es preliminar. La cifra definitiva se publica a partir del día 12 hábil del mes inmediato posterior al mes que se reporta.</t>
    </r>
  </si>
  <si>
    <r>
      <t xml:space="preserve">Porcentaje de transacciones de asignación o localización de NSS realizadas en línea (IMSS Digital).
</t>
    </r>
    <r>
      <rPr>
        <sz val="10"/>
        <rFont val="Soberana Sans"/>
        <family val="2"/>
      </rPr>
      <t xml:space="preserve"> Causa : Con información al mes de junio de 2018, la proporción de transacciones de asignación o localización de NSS realizadas en línea (IMSS Digital) fue de 89.63%.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enero-junio.</t>
    </r>
  </si>
  <si>
    <r>
      <t xml:space="preserve">Porcentaje de efectividad en actos de fiscalización.
</t>
    </r>
    <r>
      <rPr>
        <sz val="10"/>
        <rFont val="Soberana Sans"/>
        <family val="2"/>
      </rPr>
      <t xml:space="preserve"> Causa : Con información al mes de junio de 2018, el porcentaje de efectividad en actos de fiscalización fue de 101.13%.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Con el objetivo de mejorar la programación y planeación de los actos de auditoría y cobro, se desarrollaron nuevos modelos de riesgos que permiten identificar los riesgos de evasión atendiendo a los tipos y tamaño de patrones, su ubicación geográfica, sector, industria, tipo de empleados o composición salarial, entre otros elementos. Otros Motivos:Se reporta información del periodo enero-junio.</t>
    </r>
  </si>
  <si>
    <t>E007</t>
  </si>
  <si>
    <t>Servicios de guardería</t>
  </si>
  <si>
    <t>6 - Protección Social</t>
  </si>
  <si>
    <t>3 - Familia e Hijos</t>
  </si>
  <si>
    <t>9 - 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</si>
  <si>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</si>
  <si>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</si>
  <si>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período que permanecen al menos seis meses durante el período / Beneficiarios usuarios registrados durante el período) * 100</t>
  </si>
  <si>
    <r>
      <t>Tasa de participación femenina en el mercado de trabajo</t>
    </r>
    <r>
      <rPr>
        <i/>
        <sz val="10"/>
        <color indexed="30"/>
        <rFont val="Soberana Sans"/>
      </rPr>
      <t xml:space="preserve">
Indicador Seleccionado</t>
    </r>
  </si>
  <si>
    <t>T = ( PEAf / Pobft14+ ) * 100  PEAf: Población económicamente activa femenina de 14 años y más  Pobft14+: Población femenina total de 14 años y más</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</si>
  <si>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</si>
  <si>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</si>
  <si>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</si>
  <si>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Estratégico-Eficiencia-Anual</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</si>
  <si>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</si>
  <si>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</si>
  <si>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</si>
  <si>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Atender a los niños (as) de los trabajadores que se encuentren en el supuesto del artículo 201 de la Ley del Seguro Social durante su jornada laboral</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</si>
  <si>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</si>
  <si>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</si>
  <si>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</si>
  <si>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Contar con los lugares en el sistema de guarderías que permitan atender a los hijos (as) de los trabajadores que se encuentren en el supuesto del artículo 201 de la Ley del Seguro Social</t>
  </si>
  <si>
    <r>
      <t>Cobertura de la demanda del servicio de guarderías</t>
    </r>
    <r>
      <rPr>
        <i/>
        <sz val="10"/>
        <color indexed="30"/>
        <rFont val="Soberana Sans"/>
      </rPr>
      <t xml:space="preserve">
</t>
    </r>
  </si>
  <si>
    <t>(Número de lugares instalados en las guarderías en el periodo/Demanda potencial en el periodo) * 100</t>
  </si>
  <si>
    <t>A 1 Evaluar 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</si>
  <si>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</si>
  <si>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Sumatoria del puntaje máximo esperado en la  Supervisión Integral del Servicio de guardería)*100</t>
  </si>
  <si>
    <t>A 2 Evaluar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</si>
  <si>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</si>
  <si>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 Sumatoria de puntaje máximo esperado de la encuesta de satisfacción del servicio de guardería) * 100</t>
  </si>
  <si>
    <t>Gestión-Calidad-Cuatrimestral</t>
  </si>
  <si>
    <t>B 3 Aprovechar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</si>
  <si>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</si>
  <si>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 Número de lugares  instalados en las guarderías en el periodo) X 100</t>
  </si>
  <si>
    <r>
      <t xml:space="preserve">Porcentaje de permanencia de la población beneficiada
</t>
    </r>
    <r>
      <rPr>
        <sz val="10"/>
        <rFont val="Soberana Sans"/>
        <family val="2"/>
      </rPr>
      <t>Sin Información,Sin Justificación</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</si>
  <si>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</si>
  <si>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</si>
  <si>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</si>
  <si>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de asistencia promedio diario quedó por arriba de la meta en 3.68 puntos porcentuales, lo que representó un incremento de 4.8%. Lo anterior debido  a que la variable de inscripción quedó por debajo de la meta esperada en 3.7%, derivado de la apertura de nuevas guarderías cuyo promedio de ocupación alcanzó 27.1% , por su parte la asistencia promedio quedó 0.8% por arriba de la meta esperada y 1.4% superior a la cifra reportada en el periodo anterior.  Ambos efectos hicieron que el resultado del indicador fuera mayor a la meta esperada. Efecto: Los menores inscritos asisten con mayor regularidad a la guardería y se benefician de los programas educativos y alimenticios favoreciendo su desarrollo integral. Otros Motivos:Cifras preliminares al mes de septiembre. Cifras finales reportadas en agosto Numerador= 148.982 denominador= 183,635 resultado 81.13 sin cambio en la tendencia del indicador.</t>
    </r>
  </si>
  <si>
    <r>
      <t xml:space="preserve">Cobertura de la demanda del servicio de guarderías
</t>
    </r>
    <r>
      <rPr>
        <sz val="10"/>
        <rFont val="Soberana Sans"/>
        <family val="2"/>
      </rPr>
      <t xml:space="preserve"> Causa : El indicador de cobertura de la demanda quedó  por arriba de la meta en 0.67 puntos porcentuales, lo que representa un 2.9% por arriba de la meta programada. Lo anterior derivado de la  apertura de 7 guarderías con un total  aproximado de 1,414  nuevos lugares.  Efecto: Al cumplir con la cobertura programada de acuerdo a las cifras reportadas en el mes, se mantiene el nivel de calidad en la atención y el servicio esperado por los beneficiarios. Otros Motivos:Se reporta cifras preliminares al mes de septiembre. Las cifras finales para el mes agosto son: Numerador=241,520, denominador=1,018,391 resultado 23.72 sin cambio en el resultado del indicador.</t>
    </r>
  </si>
  <si>
    <r>
      <t xml:space="preserve">Porcentaje de cumplimiento en la calidad del servicio
</t>
    </r>
    <r>
      <rPr>
        <sz val="10"/>
        <rFont val="Soberana Sans"/>
        <family val="2"/>
      </rPr>
      <t xml:space="preserve"> Causa : El cumplimiento de la calidad en el servicio quedó por arriba de la meta en 2.68 puntos porcentuales, lo que representa un 2.9% por arriba de la meta programada. por lo que los beneficiarios se encuentran satisfechos con el servicio Efecto: El cumplimiento de los estándares de calidad en la prestación del servicio de guardería, contribuye en una adecuada atención de las niñas y niños. Otros Motivos:Cifras preliminares al mes de septiembre</t>
    </r>
  </si>
  <si>
    <r>
      <t xml:space="preserve">Porcentaje de satisfacción de los usuarios del servicio de guardería
</t>
    </r>
    <r>
      <rPr>
        <sz val="10"/>
        <rFont val="Soberana Sans"/>
        <family val="2"/>
      </rPr>
      <t xml:space="preserve"> Causa : La meta del cuatrimestre fue superada en 3.30 puntos porcentuales, lo cual indica que los beneficiarios se encuentran complacidos con el servicio que sus hijas e hijos reciben en las guarderías Efecto: El que los beneficiarios encuestados se encuentren satisfechos con el servicio significa que se encuentran contentos con el desarrollo de sus hijas e hijos a través de los programas de la guardería a la que asisten. Otros Motivos:</t>
    </r>
  </si>
  <si>
    <r>
      <t xml:space="preserve">Porcentaje de ocupación en guarderías
</t>
    </r>
    <r>
      <rPr>
        <sz val="10"/>
        <rFont val="Soberana Sans"/>
        <family val="2"/>
      </rPr>
      <t xml:space="preserve"> Causa : El indicador del porcentaje de ocupación  quedó por debajo de la meta en 3.93 puntos porcentuales lo que representa un -4.9% por debajo de la meta programada. Lo anterior debido a que la  variable de inscripción con respecto a la meta programada fue menor en 3.8% , debido a la apertura de las nuevas unidades donde la ocupación se reportó 28.5% en promedio lo que impactó el resultado del indicador.   Efecto: Se permite atender a un mayor de usuarios al mismo tiempo, no obstante la inscripción de las nuevas guarderías presentan niveles bajos de ocupación. Otros Motivos:Cifras preliminares al mes de agosto. Cifras finales reportadas al mes de agosto Numerador=183,635 denominador 241,520 resultado 76.03 sin cambio en la tendencia del indicador.</t>
    </r>
  </si>
  <si>
    <t>E011</t>
  </si>
  <si>
    <t>Atención a la Salud</t>
  </si>
  <si>
    <t>Contribuir a asegurar el acceso efectivo a servicios de salud con calidad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</si>
  <si>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</si>
  <si>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Indicador Seleccionado</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</si>
  <si>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</si>
  <si>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</si>
  <si>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</si>
  <si>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</si>
  <si>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</si>
  <si>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</si>
  <si>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</si>
  <si>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</si>
  <si>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</si>
  <si>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</si>
  <si>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</si>
  <si>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</si>
  <si>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</si>
  <si>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</si>
  <si>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</si>
  <si>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</si>
  <si>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</si>
  <si>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</si>
  <si>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</si>
  <si>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</si>
  <si>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</si>
  <si>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</si>
  <si>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</si>
  <si>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</si>
  <si>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</si>
  <si>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</si>
  <si>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</si>
  <si>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</si>
  <si>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</si>
  <si>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</si>
  <si>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</si>
  <si>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</si>
  <si>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</si>
  <si>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</si>
  <si>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</si>
  <si>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</si>
  <si>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</si>
  <si>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</si>
  <si>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</si>
  <si>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</si>
  <si>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</si>
  <si>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</si>
  <si>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</si>
  <si>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</si>
  <si>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</si>
  <si>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</si>
  <si>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</si>
  <si>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</si>
  <si>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</si>
  <si>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</si>
  <si>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</si>
  <si>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</si>
  <si>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</si>
  <si>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</si>
  <si>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</si>
  <si>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</si>
  <si>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</si>
  <si>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</si>
  <si>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</si>
  <si>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Sin Información,Sin Justificación</t>
    </r>
  </si>
  <si>
    <r>
      <t xml:space="preserve">Proporción de prematurez
</t>
    </r>
    <r>
      <rPr>
        <sz val="10"/>
        <rFont val="Soberana Sans"/>
        <family val="2"/>
      </rPr>
      <t xml:space="preserve"> Causa : La prematurez se eleva debido a: a)Las mujeres actualmente deciden postergar la edad del embarazo después de los 34 años, así como la presencia cada vez mas frecuente de mujeres con embarazos y enfermedades preexistentes como diabetes, cardiopatías, hipertensión arterial, autoinmunes. b) Las complicaciones inherentes al embarazo como: la infección genitourinaria que provoca ruptura prematura de membranas y condiciona partos prematuros; la preclampsia-eclampsia aumenta el riesgo de parto prematuro y prematurez; el antecedente de cesárea en la embarazada incrementa el riesgo de inserción anómala de la placenta que condiciona hemorragia y por consecuencia el nacimiento prematuro.  c) El Incremento de mujeres que se embarazan, con la aplicación de tecnologías de reproducción, que favorecen los embarazos múltiples generando partos antes de tiempo.  El uso generalizado actual de fármacos (esquema de inductores de maduración pulmonar al feto y factor surfactante al recién nacido) mejora la sobrevida de prematuros extremos (menos de 1,500 gramos al nacer), lo que incrementa el número de recién nacidos prematuros. Efecto: Las causas señaladas son factores de riesgo para el nacimiento de niños prematuros. Otros Motivos:La OMS refiere que en los países de ingresos bajos, una media del 12% de los niños nace antes de tiempo, frente al 9% en los países de ingresos más altos. Dentro de un mismo país las familias más pobres corren un riesgo mayor prematuro. También señala que hay un incremento de ésta por las causas descritas. En 2018 se mantienen las acciones para mejorar la meta. Datos del periodo enero-julio 2018,ultima información disponible en el IMSS/DIS</t>
    </r>
  </si>
  <si>
    <r>
      <t xml:space="preserve">Porcentaje de preeclampsia - eclampsia
</t>
    </r>
    <r>
      <rPr>
        <sz val="10"/>
        <rFont val="Soberana Sans"/>
        <family val="2"/>
      </rPr>
      <t xml:space="preserve"> Causa : La mejora en la calidad de atención, diagnóstico y tratamiento oportunos; así como en el registro en las fuentes primarias que alimentan el sistema de información, han permitido que la proporción de preeclampsia - eclampsia, se encuentre dentro del desempeño esperado; de acuerdo con la evidencia científica que señala que la preeclampsia - eclampsia afecta entre 5 y 12% de la población en países emergentes. Es importante considerar que las mujeres con enfermedades preexistentes como diabetes, hipertensión y obesidad tienen mayor posibilidad de presentar preeclampsia-eclampsia durante el embarazo, entre el 30 y 50%, por lo que se mantienen las acciones de mejora en la consulta preconcepcional para llegar a la meta en 2018.                      Efecto: Las acciones que continúan vigentes permiten diagnosticar oportunamente la posibilidad de presentar preeclampsia-eclampsia en las mujeres durante la etapa grávido puerperal y/o intervenir para evitar mayor morbilidad o mortalidad por esta causa. Otros Motivos:Datos del período enero-julio 2018, última información disponible en el IMSS/DIS</t>
    </r>
  </si>
  <si>
    <r>
      <t xml:space="preserve">Tasa de Infecciones Nosocomiales por 1,000 días estancia en Unidades Médicas Hospitalarias de 20 o más camas censables.    
</t>
    </r>
    <r>
      <rPr>
        <sz val="10"/>
        <rFont val="Soberana Sans"/>
        <family val="2"/>
      </rPr>
      <t xml:space="preserve"> Causa : Se continua con la aplicación del Modelo de Gestión de Riesgos en la identificación de riesgos en los procesos críticos focalizado al Programa de Vigilancia Epidemiológica de las Infecciones Asociada a la Atención de la Salud su prevención y control, se está impulsando a las unidades médicas en la implementación del Modelo de Seguridad del Paciente del Consejo de Salubridad General (CSG), para la aplicación del Programa de Prevención y Control de Infecciones, coadyuvando en la mejora de los procesos, mediante una evaluación externa por el CSG quien otorga un distintivo por la implementación del proceso. Efecto: Mejora de los procesos críticos relacionados a las Infecciones Asociadas a la Atención de la Salud. Otros Motivos:</t>
    </r>
  </si>
  <si>
    <r>
      <t xml:space="preserve">Porcentaje de pacientes con Diabetes mellitus tipo 2 en control adecuado de glucemia en  ayuno (70 -130 mg/dl)         
</t>
    </r>
    <r>
      <rPr>
        <sz val="10"/>
        <rFont val="Soberana Sans"/>
        <family val="2"/>
      </rPr>
      <t xml:space="preserve"> Causa : El indicador obtenido es inferior a lo esperado, como causa de la implementación de estrategias  implementadas en las unidades de primer nivel, con enfoque prioritario a pacientes con diagnóstico de Diabetes Mellitus tipo 2 en los que participa el médico y el equipo multidisciplinario, al proporcionar atención de forma  integral, como es el Modelo Preventivo de Enfermedades Crónicas. Efecto: Consolidar  las acciones implementadas en las unidades de primer nivel, a través de programas específicos para pacientes con diagnóstico de Diabetes Mellitus tipo 2 en los que participa el médico y el equipo multidisciplinario. Otros Motivos:Indicador estimado al mes de septiembre con cifras definitivas al mes de julio.</t>
    </r>
  </si>
  <si>
    <r>
      <t xml:space="preserve">Porcentaje de pacientes en control adecuado de Hipertensión Arterial Sistémica en Medicina Familiar                  
</t>
    </r>
    <r>
      <rPr>
        <sz val="10"/>
        <rFont val="Soberana Sans"/>
        <family val="2"/>
      </rPr>
      <t xml:space="preserve"> Causa : El indicador se observa por debajo de la meta esperada, debido a que las acciones implementadas en las unidades de primer nivel, a través de programas específicos (receta resurtible) para la atención de pacientes subsecuentes con diagnóstico de Hipertensión Arterial, ha permitido que estos pacientes disminuyan su asistencia a la consulta de forma mensual, lo que permite liberar espacios en la consulta externa de Medicina Familiar para otro tipo de pacientes. Efecto: El efecto es optimizar los recursos en las unidades de primer nivel, mediante programas definidos para pacientes con diagnóstico de Hipertensión Arterial en los que participa el médico y el equipo multidisciplinario. Otros Motivos:Indicador estimado al mes de septiembre con cifras definitivas al mes de julio.</t>
    </r>
  </si>
  <si>
    <r>
      <t xml:space="preserve">    Porcentaje de pacientes con estancia prolongada (mayor de12 horas) en el área de observación del servicio de urgencias en unidades de segundo nivel    
</t>
    </r>
    <r>
      <rPr>
        <sz val="10"/>
        <rFont val="Soberana Sans"/>
        <family val="2"/>
      </rPr>
      <t xml:space="preserve"> Causa : Incremento de casos de mayor complejidad de los servicios de urgencias. lo que condiciona mayor tiempo en la atencion de los pacientes. Con la finalidad de optimizar la utilización del servicio de urgencias, se continua con las siguientes estrategias:    -  mejora de la oportunidad de la atencion mediante la clasificación  de la gravedad de los pacientes  en Triage.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Efecto: Incremento en el número de horas de estancia en los servicios de urgencias, sin afectar la calidad de su atención. Otros Motivos:Se cuenta con información preliminar al mes de abril. El logro del indicador es preliminar.Contabilizando la informacion de 4 meses, el porcentaje de cumplimiento es del  85% </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</si>
  <si>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resultado indica 2.79%  puntos porcentuales por arriba de la meta programada. Causa: Se esta realizando la actualización del número de salas efectivas en el sistema de información  médico operativo (SIMO), este indicador   refleja el uso eficiente  de quirófanos, como parte de la estrategia institucional de mejora para abatir el rezago quirúrgico. Se continua con la estrategia de cirugías programadas  los fines de semana   Efecto: Atención quirúrgica oportuna para tratamiento de padecimientos de resolución quirúrgica. Otros Motivos:Se reporta una tercera parte del trimestre toda vez que no se cuenta con datos oficiales más que del mes de Julio.</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</si>
  <si>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resultado se encuentra 16.8  puntos porcentuales por debajo de la meta establecida, lo cual se debe al incremento en el número de consultas de primera vez que son solicitadas a las UMAE, y que se explica por la transición epidemiológica que ocasiona una mayor complejidad de la patología crónica degenerativa. Efecto: Se rebasa la capacidad instalada en  las Unidades Médicas de Alta Especialidad, con lo cual se presenta diferimiento para la atención ambulatoria de los pacientes referidos a las Unidades Médicas de Alta Especialidad.  Otros Motivos:Se reporta una tercera parte del trimestre toda vez que no se cuenta con datos oficiales más que del mes de Julio.</t>
    </r>
  </si>
  <si>
    <r>
      <t xml:space="preserve">Oportunidad de inicio de la vigilancia prenatal    
</t>
    </r>
    <r>
      <rPr>
        <sz val="10"/>
        <rFont val="Soberana Sans"/>
        <family val="2"/>
      </rPr>
      <t xml:space="preserve"> Causa : Información estimada del periodo enero - septiembre de 2018.           La oportunidad de inicio de la vigilancia prenatal durante el primer trimestre de gestación, resultó en 54.0%.           Se considera satisfactorio, ya que se interpreta que de 5 de cada 10 embarazadas acuden al inicio de su vigilancia prenatal antes de las primeras 12 semanas y 6 días de la gestación. Efecto: La finalidad de iniciar tempranamente la atención prenatal es brindarle todas las acciones médico preventivas  para poder culminar la gestación a término, con la madre y el producto saludables. Otros Motivos:</t>
    </r>
  </si>
  <si>
    <r>
      <t xml:space="preserve">Promedio de atenciones prenatales por embarazada    
</t>
    </r>
    <r>
      <rPr>
        <sz val="10"/>
        <rFont val="Soberana Sans"/>
        <family val="2"/>
      </rPr>
      <t xml:space="preserve"> Causa : Información estimada del periodo enero - septiembre de 2018.          El promedio de atenciones prenatales por embarazada resultó 0.5, por abajo de la meta establecida para el periodo (7.0).    Se confirma el valor de la meta de 6.5 muy probablemente esto sea debido a que ya no se exige que sean obligatorias las consultas de atención prenatal, se espera que para el cierre del año se pueda alcanzar la meta establecida a través de un mejor registro. Efecto: Se propicia que la embarazada asista a la vigilancia prenatal en forma periódica, lo cual contribuye a la detección oportuna de signos y síntomas que pudieran complicar el embarazo.  Otros Motivos:</t>
    </r>
  </si>
  <si>
    <r>
      <t xml:space="preserve">Eficacia del Proceso del Control de Ambientes Físicos
</t>
    </r>
    <r>
      <rPr>
        <sz val="10"/>
        <rFont val="Soberana Sans"/>
        <family val="2"/>
      </rPr>
      <t xml:space="preserve"> Causa : Se registró un avance de 87.96 al tercer trimestre de 2018, por lo que se alcanzó un cumplimiento de 87.96% de la meta establecida para el trimestre,  debido a la vacancia de plazas de limpieza, sin embargo se da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t>
    </r>
  </si>
  <si>
    <r>
      <t xml:space="preserve">Pacientes subsecuentes con diagnóstico de Diabetes Mellitus tipo 2         
</t>
    </r>
    <r>
      <rPr>
        <sz val="10"/>
        <rFont val="Soberana Sans"/>
        <family val="2"/>
      </rPr>
      <t xml:space="preserve"> Causa : Se observa que el indicador está por encima de lo esperado, como causa de que los pacientes con Diabetes Mellitus subsecuentes asisten de forma más constante a la cita, para  la atención  médica, donde se proporciona tratamiento farmacológico y no farmacológico.   Efecto: Como efecto las condiciones de salud del paciente con Diabetes Mellitus se modifican para retrasar la presencia de complicaciones  Otros Motivos:Indicador estimado al mes de septiembre con cifras definitivas al mes de julio</t>
    </r>
  </si>
  <si>
    <r>
      <t xml:space="preserve">Pacientes con diagnóstico de Hipertensión Arterial Sistémica que acuden de manera subsecuente a la consulta de Medicina Familiar                 
</t>
    </r>
    <r>
      <rPr>
        <sz val="10"/>
        <rFont val="Soberana Sans"/>
        <family val="2"/>
      </rPr>
      <t xml:space="preserve"> Causa : Durante este periodo el  indicador refleja un resultado por arriba de la meta esperada, a causa del aumento de pacientes que acuden a cita de manera subsecuente con el propósito de continuar con un mejor seguimiento en su tratamiento Efecto: El efecto es favorecer a mantener un mejor control del tratamiento integral para Hipertensión Arterial Otros Motivos:Indicador estimado al mes de septiembre con cifras definitivas al mes de julio</t>
    </r>
  </si>
  <si>
    <r>
      <t xml:space="preserve">Porcentaje de surtimiento de recetas médicas
</t>
    </r>
    <r>
      <rPr>
        <sz val="10"/>
        <rFont val="Soberana Sans"/>
        <family val="2"/>
      </rPr>
      <t xml:space="preserve"> Causa : El nivel de atención de recetas de medicamentos acumulado a septiembre muestra una variación positiva de 1.8 puntos porcentuales respecto del pronóstico al 3er. trimestre. Lo anterior derivado de las estrategias implementadas para la mejora del abasto de medicamentos. La compra consolidada encabezada por el IMSS para atender sus necesidades de medicamentos, vacunas y material de curación concentra los requerimientos de bienes terapéuticos del Sector Público donde participaron 50 entidades públicas, de las cuales 5 son dependencias y/o entidades federales, 22 gobiernos estatales y 23 institutos de salud.  Esta estrategia de compra ha garantizado el abasto oportuno de bienes de consumo terapéutico en beneficio de la población usuaria. Se continua con el esquema de abasto, consumo en demanda, se seleccionaron los medicamentos que de acuerdo con el comportamiento de su demanda se determina incluirlos bajo este esquema, el cual permite tanto a la industria farmacéutica como al IMSS mantener un nivel de inventario suficiente para atender las necesidades de los medicamentos de mayor uso. De igual manera se dio continuidad al mecanismo de entrega directa en farmacias, en el cual se contratan medicamentos de alto costo y alta especialidad para que los proveedores realicen las entregas para elabastecimiento directamente en las farmacias de hospitales del IMSS. Con este esquema se mejoró el abastecimiento de los medicamentos con una distribución más eficiente y con menores costos de almacenaje y resguardo. Con el Programa Tu Receta es tu Vale convierte en vale electrónico la receta que no fue surtida cuando alguno de los medicamentos no estén disponibles en la farmacia de la Unidad Médica donde se expidió, esta puede ser canjeada en una Unidad reforzada u otra farmacia del IMSS que participe en el programa. Éste se encuentra operando en cuatro Delegaciones: CDMX Sur y Norte, Edo Mex Ote, Jalisco y Querétaro. Con lo que se han emitido 427,820 vales al cierre de sept de 2018. Efecto: La estrategia de compra consolidada incluyó 1,477 claves de medicamentos y material de curación con un importe consolidado de 58,435 mdp, de las que se adjudicaron 1,340 por un monto de 48,491 mdp, convirtiéndose en la más grande del sector público.     Para el esquema de consumo en demanda se contrataron más de 377 millones de piezas de 20 medicamentos, que representan 33.8% del total de piezas de medicamentos contratados y alrededor de 2,435 millones de pesos, que corresponde a 7.2% del importe total contratado.    Para 2018 se contrataron bajo el esquema de entrega directa en farmacia, 135 medicamentos de alto costo y alta especialidad para el abastecimiento de más de 3 millones de piezas (0.27% del total de piezas de medicamentos), que representan 11,439 millones de pesos, es decir, 33.9% del importe total de medicamentos contratados.     Otros Motivos:Al mes de septiembre de 2018, el total de vales emitidos del programa, desde su inicio, es de 427,820, de los cuales se han canjeado un total de 163,564 vales, lo que ha contribuido a mantener un nivel de atención de recetas del 99.5% en promedio, a dicho mes, en las Delegaciones en donde se encuentra operando el programa. Así mismo, se ha atendido a 57,226 derechohabientes  en los centros de canje con un índice de satisfacción del 100% y las quejas por falta de medicamentos, se han reducido en un 97.2% en promedio.</t>
    </r>
  </si>
  <si>
    <r>
      <t xml:space="preserve">Índice consultas de urgencias por 1000 derechohabientes en unidades de segundo nivel    
</t>
    </r>
    <r>
      <rPr>
        <sz val="10"/>
        <rFont val="Soberana Sans"/>
        <family val="2"/>
      </rPr>
      <t xml:space="preserve"> Causa : El registro del resultado es preliminar a julio de 2018, adicionalmente se  consensúa con los pacientes que acuden por urgencias sentidas (no reales) el envío a primer nivel para su atención. Efecto: Reducción en las atenciones de consulta de los servicios de urgencias. Otros Motivos:El Instituto está implementando una nueva plataforma para el registro de las atenciones en consulta de los servicios de urgencias, lo que ha condicionado ajustes continuos en el sistema de información. Se ajusta la estimación de la meta, de acuerdo a la tendencia del comportamiento de consultas en urgencias. Se ajusta la población a 47, 417, 750 por esta ser la población registrada en el SIAS.   </t>
    </r>
  </si>
  <si>
    <r>
      <t xml:space="preserve">Total de cirugías electivas programadas en Unidades Médicas de Alta Especialidad    
</t>
    </r>
    <r>
      <rPr>
        <sz val="10"/>
        <rFont val="Soberana Sans"/>
        <family val="2"/>
      </rPr>
      <t xml:space="preserve"> Causa : Se realizaron 27,592 cirugías programadas menos de las que se establecieron en la meta. Lo anterior se debe a que únicamente se está reportando un mes del periodo (33%) y el logro corresponde al 35.8% de la meta, si se contara con la información de todo el periodo, se observa una tendencia a superar la meta establecida. Efecto: Se puede otorgar atención quirúrgica con oportunidad, y se disminuye el diferimiento quirúrgico. Otros Motivos:Se reporta una tercera parte del trimestre toda vez que no se cuenta con datos oficiales más que del mes de Julio.</t>
    </r>
  </si>
  <si>
    <r>
      <t xml:space="preserve">Total de consultas de  primera vez otorgadas en Unidades Médicas de Alta Especialidad    
</t>
    </r>
    <r>
      <rPr>
        <sz val="10"/>
        <rFont val="Soberana Sans"/>
        <family val="2"/>
      </rPr>
      <t xml:space="preserve"> Causa : Se otorgaron 102,495 consultas de especialidad de primera vez menos de las que se establecieron en la meta. Lo anterior se debe a que únicamente se está reportando un mes del periodo (33%) y el logro corresponde al 44.08% de la meta, si se contara con la información de todo el periodo, se observa una tendencia a superar la meta establecida. Efecto: Se otorga el servicio de consulta de especialidades a un mayor número de pacientes que así lo requieren sin embargo se limitan los espacios para otorgar consulta con oportunidad, lo que ocasiona diferimiento en la consulta de especialidades. Otros Motivos:Se reporta una tercera parte del trimestre toda vez que no se cuenta con datos oficiales más que del mes de Julio.</t>
    </r>
  </si>
  <si>
    <t>E012</t>
  </si>
  <si>
    <t>Prestaciones sociales</t>
  </si>
  <si>
    <t>9 - Otros de Seguridad Social y Asistencia Social</t>
  </si>
  <si>
    <t>8 - Prestaciones sociales eficientes</t>
  </si>
  <si>
    <t>Contribuir a consolidar las acciones de protección, promoción de la salud y prevención de enfermedades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</si>
  <si>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</si>
  <si>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</si>
  <si>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</si>
  <si>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</si>
  <si>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</si>
  <si>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Calificación de satisfacción con la vida declarada por NO afiliados IMSS)-1 *100</t>
  </si>
  <si>
    <t>Variación porcentual</t>
  </si>
  <si>
    <t>Estratégico-Calidad-Bienal</t>
  </si>
  <si>
    <r>
      <t>Índice de prestaciones sociales (IPS)</t>
    </r>
    <r>
      <rPr>
        <i/>
        <sz val="10"/>
        <color indexed="30"/>
        <rFont val="Soberana Sans"/>
      </rPr>
      <t xml:space="preserve">
</t>
    </r>
  </si>
  <si>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</si>
  <si>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</si>
  <si>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Estratégico-Calidad-Anual</t>
  </si>
  <si>
    <t>A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</si>
  <si>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</si>
  <si>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</si>
  <si>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</si>
  <si>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</si>
  <si>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en el trimestre n del año t / Número de servicios contratados en el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</si>
  <si>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</si>
  <si>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</si>
  <si>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</si>
  <si>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en el trimestre n del año t / Número de usuarios atendidos en el trimestre n del año t-1)-1] * 100 </t>
  </si>
  <si>
    <t>A 1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</si>
  <si>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</si>
  <si>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</si>
  <si>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A 2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</si>
  <si>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</si>
  <si>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</si>
  <si>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A 3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</si>
  <si>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</si>
  <si>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</si>
  <si>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A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</si>
  <si>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</si>
  <si>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</si>
  <si>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A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</si>
  <si>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</si>
  <si>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</si>
  <si>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Supervisión de Velatorios</t>
  </si>
  <si>
    <r>
      <t>Porcentaje de cumplimiento  de visitas de supervisión para velatorios del IMSS</t>
    </r>
    <r>
      <rPr>
        <i/>
        <sz val="10"/>
        <color indexed="30"/>
        <rFont val="Soberana Sans"/>
      </rPr>
      <t xml:space="preserve">
</t>
    </r>
  </si>
  <si>
    <t>(Número de visitas de supervisión realizadas/Número de visitas de supervisión programadas)*100</t>
  </si>
  <si>
    <t>Visita</t>
  </si>
  <si>
    <t>Gestión-Eficacia-Cuatrimestral</t>
  </si>
  <si>
    <t>B 7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</si>
  <si>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</si>
  <si>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en el periodo t /Número  pláticas de promoción y difusión de velatorios realizadas en el periodo t-1 ) -1 ]*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</si>
  <si>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</si>
  <si>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</si>
  <si>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Número total de personas que contestaron la encuesta al visitar los CV)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</si>
  <si>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</si>
  <si>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 Número total de usuarios en los CV )*100</t>
  </si>
  <si>
    <t>Usuario</t>
  </si>
  <si>
    <r>
      <t xml:space="preserve">Proporción de personas con acceso a seguridad social que tienen acceso a servicios de salud por afiliación al IMSS.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</si>
  <si>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</si>
  <si>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</si>
  <si>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1,075,789 personas a nivel nacional, con una buena participación de la población derechohabiente, la cual alcanzó el 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273,081 personas, lo que representó el  79.73 % de la meta programada al trimestre.    En Desarrollo Cultural, se impartieron cursos y talleres en las disciplinas de teatro, danza folclórica, danza creativa, ritmos afrolatinos y baile de salón, música instrumental y vocal, artes visuales y artesanías a  114,834 inscritos, lo que represento un avance del 79.21%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530 mil 860 inscritos, se logró el 80.13% de la meta programada al tercer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157,014 inscritos en el periodo que representa el  72.10% de la meta programada.     Otros Motivos:De acuerdo al indicador es una tasa de variación que conforme a la fórmula de cálculo, se mide la variación  del número de usuarios que asisten a los cursos y talleres de prestaciones sociales en un periodo de tiempo, respecto del número de usuarios que asisten a los cursos y talleres de prestaciones sociales en el periodo inmediato anterior por lo que el resultado al trimestre es de      -8.73 y la meta al trimestre es de 1.25 en los trimestres anteriores no se ha hecho la resta de           -1*100 por lo cual la diferencia</t>
    </r>
  </si>
  <si>
    <r>
      <t xml:space="preserve">Variación porcentual de servicios funerarios contratados respecto al mismo periodo del año anterior
</t>
    </r>
    <r>
      <rPr>
        <sz val="10"/>
        <rFont val="Soberana Sans"/>
        <family val="2"/>
      </rPr>
      <t xml:space="preserve"> Causa : Durante el periodo julio - septiembre se observó disminución en la captación de servicios con respecto al mismo periodo del ejercicio anterior en un 3.27%, lo anterior debido a   - La falta de operación de los hornos crematorios en el Velatorio de Tequesquináhuac.  - Falta de promotoría.   - Incremento de competencia. Efecto: Respecto al incremento programado de 4% para el periodo de julio a septiembre del presente ejercicio, se observa un decremento de 3.27% en el número de servicios otorgados respecto al ejercicio anterior. Es decir, el valor de indicador representa un porcentaje mucho menor al programado. Otros Motivos:Para alcanzar la meta, se implementarán diversas acciones durante el ejercicio 2018; respecto a la promoción y difusión de los servicios funerarios entre la población derechohabiente del IMSS y público en general, a través de la cobertura de plazas de promotores del FIBESO.</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</si>
  <si>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(CV) que realizan actividades de esparcimiento fue menor al registrado en el mismo trimestre del año anterior, debido a que la capacidad máxima disponible de los CV Atlixco-Metepec y CV Oaxtepec se redujo. El CV Atlixco-Metepec fue abierto al público de manera parcial, derivado de las afectaciones provocadas por el sismo del 19 de septiembre de 2017. Por su parte, uno de los hoteles del CV Oaxtepec estuvo en remodelación. Efecto: En el periodo reportado hubo 19.12% menos usuarios atendidos que realizaron actividades de esparcimiento. Otros Motivos:Existe la posibilidad de que la meta se alcance en la medida en que los espacios disponibles se recuperen gracias a las tareas de rehabilitación y ello haga más atractiva la visita a los CV.</t>
    </r>
  </si>
  <si>
    <r>
      <t xml:space="preserve">Eficacia en la Planeación y Programación de inscritos a cursos y talleres de Desarrollo Cultural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1,075,789 personas a nivel nacional, con una buena participación de la población derechohabiente, la cual alcanzó el 53% del total de inscritos programados para el trimestre.    Efecto: En Desarrollo Cultural, se impartieron cursos y talleres en las disciplinas de teatro, danza folclórica, danza creativa, ritmos afrolatinos y baile de salón, música instrumental y vocal, artes visuales y artesanías a  114,834 inscritos, lo que represento un avance del 79.21% de la meta programada para este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</si>
  <si>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1,075,789 personas a nivel nacional, con una buena participación de la población derechohabiente, la cual alcanzó el 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273,081 personas, lo que representó el  79.73 % de la meta programada al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</si>
  <si>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1,075,789 personas a nivel nacional, con una buena participación de la población derechohabiente, la cual alcanzó el 53% del total de inscritos programados para el trimestre.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530 mil 860 inscritos, se logró el 80.13% de la meta programada al tercer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</si>
  <si>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1,075,789 personas a nivel nacional, con una buena participación de la población derechohabiente, la cual alcanzó el 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273,081 personas, lo que representó el  79.73 % de la meta programada al trimestre.  En Desarrollo Cultural, se impartieron cursos y talleres en las disciplinas de teatro, danza folclórica, danza creativa, ritmos afrolatinos y baile de salón, música instrumental y vocal, artes visuales y artesanías a  114,834 inscritos, lo que represento un avance del 79.21%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530 mil 860 inscritos, se logró el 80.13% de la meta programada al tercer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157,014 inscritos en el periodo que representa el  72.10%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</si>
  <si>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1,075,789 personas a nivel nacional, con una buena participación de la población derechohabiente, la cual alcanzó el 53% del total de inscritos programados para el trimestre.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157,014 inscritos en el periodo que representa el  72.10%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</si>
  <si>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 xml:space="preserve"> Causa : Durante el periodo de mayo - agosto del presente ejercicio, las Delegaciones realizaron las 34 supervisiones programadas a los Velatorios IMSS establecidas durante el segundo cuatrimestre. No se alcanzó la meta por el rezago derivado del cuatrimestre anterior. Efecto: Se llevó a cabo puntual seguimiento a fin de lograr el cumplimiento de lo programado. Otros Motivos:Se continuará con el seguimiento a fin de lograr el 100% de la meta durante el ejercicio 2018.</t>
    </r>
  </si>
  <si>
    <r>
      <t xml:space="preserve">Variación de pláticas de promoción y difusión de velatorios respecto al año inmediato anterior
</t>
    </r>
    <r>
      <rPr>
        <sz val="10"/>
        <rFont val="Soberana Sans"/>
        <family val="2"/>
      </rPr>
      <t xml:space="preserve"> Causa : Durante el periodo de julio-septiembre del presente ejercicio, los Velatorios IMSS incrementaron el número de pláticas respecto al ejercicio anterior, toda vez que los Velatorios de Doctores, Guadalajara, Pachuca y Tampico realizaron mayor número de pláticas de promoción y difusión de los servicios funerarios, con respecto a las programadas. Efecto: Se incremento el número de pláticas de difusión de los servicios funerarios, toda vez que el personal operativo de los Velatorios en los que no se cuenta con promotores, realizó pláticas logrando una mayor difusión entre la población usuaria en unidades médicas de los servicios que ofrecen los Velatorios IMSS. Otros Motivos:Se prevé continuar con la metodología para realizar pláticas de promoción y lograr que el  cumplimiento sea similar entre los Velatorios.</t>
    </r>
  </si>
  <si>
    <r>
      <t xml:space="preserve">Porcentaje de personas usuarias que se enteraron de los servicios a través de la promoción y difusión de Centros Vacacionales en Internet
</t>
    </r>
    <r>
      <rPr>
        <sz val="10"/>
        <rFont val="Soberana Sans"/>
        <family val="2"/>
      </rPr>
      <t xml:space="preserve"> Causa : Fue posible captar a más usuarios que se enteran de los CV por Internet gracias a que se implementó un nuevo proceso de levantamiento de encuestas en los Centros Vacacionales (que considera un número mínimo de encuestas a reportar). Lo anterior, aunado a las estrategias institucionales de comunicación social que consideran la difusión de los CV en redes sociales. Efecto: El avance reportado para este periodo es mayor a lo programado en un 1.23%, lo cual evidencia la efectividad de las tareas de difusión en Internet.  Otros Motivos:</t>
    </r>
  </si>
  <si>
    <r>
      <t xml:space="preserve">Porcentaje de usuarios que utilizan algún descuento en las tarifas, respecto del total de usuarios registrados
</t>
    </r>
    <r>
      <rPr>
        <sz val="10"/>
        <rFont val="Soberana Sans"/>
        <family val="2"/>
      </rPr>
      <t xml:space="preserve"> Causa : El número de personas que solicitaron algún descuentos ha aumentado durante el año, de acuerdo con lo previsto en la definición de metas. No obstante, el número total de usuarios no ha alcanzado los niveles planeados y, en consecuencia, el porcentaje es mayor al planteado. Efecto: El comportamiento no tiene efectos negativos, por el contrario, los resultados indican que cada vez más se tienen usuarios beneficiados por los descuentos existentes, gracias a las actividades de promoción y difusión de los CV. Otros Motivos:</t>
    </r>
  </si>
  <si>
    <t>J001</t>
  </si>
  <si>
    <t>Pensiones en curso de pago Ley 1973</t>
  </si>
  <si>
    <t>2 - Edad Avanzada</t>
  </si>
  <si>
    <t>7 - 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</si>
  <si>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</si>
  <si>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</si>
  <si>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</si>
  <si>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r>
      <t>Ahorro financiero interno</t>
    </r>
    <r>
      <rPr>
        <i/>
        <sz val="10"/>
        <color indexed="30"/>
        <rFont val="Soberana Sans"/>
      </rPr>
      <t xml:space="preserve">
Indicador Seleccionado</t>
    </r>
  </si>
  <si>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</si>
  <si>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Porcentaje del PIB</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</si>
  <si>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</si>
  <si>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</si>
  <si>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</si>
  <si>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</si>
  <si>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</si>
  <si>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</si>
  <si>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</si>
  <si>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</si>
  <si>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</si>
  <si>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Sin Información,Sin Justificación</t>
    </r>
  </si>
  <si>
    <r>
      <t xml:space="preserve">Ahorro financiero interno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</si>
  <si>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Sin Información,Sin Justificación</t>
    </r>
  </si>
  <si>
    <r>
      <t xml:space="preserve">Porcentaje de trámites atendidos oportunamente de las pensiones nuevas
</t>
    </r>
    <r>
      <rPr>
        <sz val="10"/>
        <rFont val="Soberana Sans"/>
        <family val="2"/>
      </rPr>
      <t xml:space="preserve"> Causa : Se captura información con el comportamiento de las metas reales.  Efecto: En el primer semestre de 2018 indicador mostro un comportamiento favorable que alcanzo el 98.48 respecto a la meta establecida, con un nivel de cumplimento de 101.5  Otros Motivos:Al pensionado se le tramita su pensión  en menos de 12 días en que fue solicitada.</t>
    </r>
  </si>
  <si>
    <r>
      <t xml:space="preserve">Porcentaje de solicitudes de pensión concluidas.
</t>
    </r>
    <r>
      <rPr>
        <sz val="10"/>
        <rFont val="Soberana Sans"/>
        <family val="2"/>
      </rPr>
      <t xml:space="preserve"> Causa : Se captura información con el comportamiento de las metas reales. Efecto: En septiembre 2018 la meta real alcanzada se ubicó en 98.27. Otros Motivos:Se continuará dando seguimiento al desempeño del indicador para el ciclo presupuestal 2018. </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</si>
  <si>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</si>
  <si>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</si>
  <si>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</si>
  <si>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</si>
  <si>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</si>
  <si>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traspaso oportuno a las aseguradoras de las Sumas Aseguradas para pago de pensiones Ley 97</t>
    </r>
    <r>
      <rPr>
        <i/>
        <sz val="10"/>
        <color indexed="30"/>
        <rFont val="Soberana Sans"/>
      </rPr>
      <t xml:space="preserve">
</t>
    </r>
  </si>
  <si>
    <t>(Casos enviados a las aseguradoras al día hábil siguiente de su recepción / Total de casos recibidos para envió a las aseguradoras)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</si>
  <si>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</si>
  <si>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</si>
  <si>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</si>
  <si>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Sin Información,Sin Justificación</t>
    </r>
  </si>
  <si>
    <r>
      <t xml:space="preserve">Porcentaje de traspaso oportuno a las aseguradoras de las Sumas Aseguradas para pago de pensiones Ley 97
</t>
    </r>
    <r>
      <rPr>
        <sz val="10"/>
        <rFont val="Soberana Sans"/>
        <family val="2"/>
      </rPr>
      <t>Sin Información,Sin Justificación</t>
    </r>
  </si>
  <si>
    <r>
      <t xml:space="preserve">Porcentaje de rentas vitalicias que se tramitan oportunamente.
</t>
    </r>
    <r>
      <rPr>
        <sz val="10"/>
        <rFont val="Soberana Sans"/>
        <family val="2"/>
      </rPr>
      <t xml:space="preserve"> Causa : Se captura información con el comportamiento de las metas reales.  Efecto: En el primer semestre de 2018 indicador mostro un comportamiento favorable que alcanzo el 98.44 respecto a la meta establecida, con un nivel de cumplimiento de 101.5  Otros Motivos:Al pensionado se le tramita su pensión  en menos de 12 días en que fue solicitada. </t>
    </r>
  </si>
  <si>
    <r>
      <t xml:space="preserve">Porcentaje de solicitudes de pensión concluidas.
</t>
    </r>
    <r>
      <rPr>
        <sz val="10"/>
        <rFont val="Soberana Sans"/>
        <family val="2"/>
      </rPr>
      <t xml:space="preserve"> Causa : Se captura información con el comportamiento de las metas reales. Efecto: En septiembre 2018 la meta real alcanzada se ubicó en 98.27 .   Otros Motivos:Se continuará dando seguimiento al desempeño del indicador para el ciclo presupuestal 2018. </t>
    </r>
  </si>
  <si>
    <t>J004</t>
  </si>
  <si>
    <t>Pago de subsidios a los asegurados</t>
  </si>
  <si>
    <t>1 - 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</si>
  <si>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</si>
  <si>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r>
      <t>Financiamiento interno al sector privado</t>
    </r>
    <r>
      <rPr>
        <i/>
        <sz val="10"/>
        <color indexed="30"/>
        <rFont val="Soberana Sans"/>
      </rPr>
      <t xml:space="preserve">
Indicador Seleccionado</t>
    </r>
  </si>
  <si>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</si>
  <si>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</si>
  <si>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</si>
  <si>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</si>
  <si>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</si>
  <si>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</si>
  <si>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</si>
  <si>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</si>
  <si>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</si>
  <si>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</si>
  <si>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</si>
  <si>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</si>
  <si>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</si>
  <si>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</si>
  <si>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Financiamiento interno al sector privado
</t>
    </r>
    <r>
      <rPr>
        <sz val="10"/>
        <rFont val="Soberana Sans"/>
        <family val="2"/>
      </rPr>
      <t>Sin Información,Sin Justificación</t>
    </r>
  </si>
  <si>
    <r>
      <t xml:space="preserve">Proporción de la población asegurada beneficiada con un ingreso por concepto de pago de subsidio por Incapacidad
</t>
    </r>
    <r>
      <rPr>
        <sz val="10"/>
        <rFont val="Soberana Sans"/>
        <family val="2"/>
      </rPr>
      <t>Sin Información,Sin Justificación</t>
    </r>
  </si>
  <si>
    <r>
      <t xml:space="preserve">Porcentaje de casos dispuestos en ventanilla de la institución bancaría para cobro del subsidio por el asegurado en un plazo máximo de 3 días.
</t>
    </r>
    <r>
      <rPr>
        <sz val="10"/>
        <rFont val="Soberana Sans"/>
        <family val="2"/>
      </rPr>
      <t>Sin Información,Sin Justificación</t>
    </r>
  </si>
  <si>
    <r>
      <t xml:space="preserve">Proporción de casos tramitados oportunos de las incapacidades nominativas con pago  
</t>
    </r>
    <r>
      <rPr>
        <sz val="10"/>
        <rFont val="Soberana Sans"/>
        <family val="2"/>
      </rPr>
      <t xml:space="preserve"> Causa : Se captura información con el comportamiento de la meta real alcanzada.  Efecto: En el primer semestre de 2018 indicador mostro un comportamiento favorable que alcanzo el 99.5 respecto a la meta establecida, con un nivel de cumplimiento de 100.5  Otros Motivos:Al asegurado se le tramita su incapacidad temporal para el trabajo en los 7 días posteriores a la fecha de expedición. </t>
    </r>
  </si>
  <si>
    <r>
      <t xml:space="preserve">Total de Certificados de Incapacidad subsidiados.
</t>
    </r>
    <r>
      <rPr>
        <sz val="10"/>
        <rFont val="Soberana Sans"/>
        <family val="2"/>
      </rPr>
      <t xml:space="preserve"> Causa : Se captura información con el comportamiento de las metas reales.  Efecto: Al mes de septiembre la meta real se ubicó en 4,427,820 incapacidades, el 100% tuvieron derecho a pago de subsidio.  Otros Motivos:El nivel de cumplimiento se ubica en 103 con una variación de 2.8%  respecto a la meta establecida.  Se informa que este indicador tiene el programa asociado de "Seguimiento a las Incapacidades Temporales para el Trabajo" para dar un seguimiento puntual a estas. </t>
    </r>
  </si>
  <si>
    <t>K012</t>
  </si>
  <si>
    <t>Proyectos de infraestructura social de asistencia y seguridad social</t>
  </si>
  <si>
    <t>Contribuir a asegurar la generación y el uso efectivo de los recursos en salud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</si>
  <si>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</si>
  <si>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</si>
  <si>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</si>
  <si>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r>
      <t>Porcentaje de gasto público en salud destinado a la provisión de atención médica y salud pública extramuros</t>
    </r>
    <r>
      <rPr>
        <i/>
        <sz val="10"/>
        <color indexed="30"/>
        <rFont val="Soberana Sans"/>
      </rPr>
      <t xml:space="preserve">
Indicador Seleccionado</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</si>
  <si>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</si>
  <si>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</si>
  <si>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</si>
  <si>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</si>
  <si>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</si>
  <si>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</si>
  <si>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</si>
  <si>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</si>
  <si>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</si>
  <si>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</si>
  <si>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Sin Información,Sin Justificación</t>
    </r>
  </si>
  <si>
    <r>
      <t xml:space="preserve">Porcentaje de gasto público en salud destinado a la provisión de atención médica y salud pública extramuros
</t>
    </r>
    <r>
      <rPr>
        <sz val="10"/>
        <rFont val="Soberana Sans"/>
        <family val="2"/>
      </rPr>
      <t>Sin Información,Sin Justificación</t>
    </r>
  </si>
  <si>
    <r>
      <t xml:space="preserve">Tasa de variación de incremento de metros cuadrados construidos
</t>
    </r>
    <r>
      <rPr>
        <sz val="10"/>
        <rFont val="Soberana Sans"/>
        <family val="2"/>
      </rPr>
      <t>Sin Información,Sin Justificación</t>
    </r>
  </si>
  <si>
    <r>
      <t xml:space="preserve">Porcentaje de obras terminadas
</t>
    </r>
    <r>
      <rPr>
        <sz val="10"/>
        <rFont val="Soberana Sans"/>
        <family val="2"/>
      </rPr>
      <t xml:space="preserve"> Causa : Se cumplió con la meta esperada Efecto: Se cumplió con la meta esperada Otros Motivos:</t>
    </r>
  </si>
  <si>
    <r>
      <t xml:space="preserve">Porcentaje de avance de Obras
</t>
    </r>
    <r>
      <rPr>
        <sz val="10"/>
        <rFont val="Soberana Sans"/>
        <family val="2"/>
      </rPr>
      <t xml:space="preserve"> Causa : Se cumplió con la meta programada Efecto: Se cumplió con la meta programada Otros Motivos:</t>
    </r>
  </si>
  <si>
    <t>K029</t>
  </si>
  <si>
    <t>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</si>
  <si>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</si>
  <si>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</si>
  <si>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</si>
  <si>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</si>
  <si>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</si>
  <si>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</si>
  <si>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</si>
  <si>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</si>
  <si>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</si>
  <si>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</si>
  <si>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</si>
  <si>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</si>
  <si>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</si>
  <si>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</si>
  <si>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</si>
  <si>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</si>
  <si>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</si>
  <si>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</si>
  <si>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</si>
  <si>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</si>
  <si>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</si>
  <si>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</si>
  <si>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</si>
  <si>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</si>
  <si>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</si>
  <si>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</si>
  <si>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</si>
  <si>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</si>
  <si>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</si>
  <si>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adquisición de equipo médico 
</t>
    </r>
    <r>
      <rPr>
        <sz val="10"/>
        <rFont val="Soberana Sans"/>
        <family val="2"/>
      </rPr>
      <t xml:space="preserve"> Causa : Gran parte de los equipos considerados en el total de equipos incorporados en los procesos de adquisición, correspondía al programa nacional de sustitución de camas hospitalarias, y correspondía a 20,904 camas. Sin embargo dicho procedimiento de licitación se declaró desierto por lo que el avance es muy inferior a lo planeado y no podrá alcanzarse la meta propuesta.  Efecto: La variación traerá como consecuencia que durante este ejercicio no se pueda alcanzar la meta propuesta, debido a que el procedimiento desierto corresponde a un gran porcentaje del total propuesto.  Otros Motivos:Licitación desierta</t>
    </r>
  </si>
  <si>
    <r>
      <t xml:space="preserve">Porcentaje de expedientes que llegan a fallo integrados para la planeación e integración del Programa de Adquisiciones
</t>
    </r>
    <r>
      <rPr>
        <sz val="10"/>
        <rFont val="Soberana Sans"/>
        <family val="2"/>
      </rPr>
      <t xml:space="preserve"> Causa : El porcentaje es 0 (cero) toda vez que no se han finiquitado los procesos licitatorios referentes al programa K-029 Programas de Adquisición, dependientes de esta normativa. Efecto: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</si>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</sst>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3" xfId="0"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topLeftCell="A13" zoomScale="80" zoomScaleNormal="80" zoomScaleSheetLayoutView="80" workbookViewId="0">
      <selection activeCell="B2" sqref="B2"/>
    </sheetView>
  </sheetViews>
  <sheetFormatPr baseColWidth="10" defaultColWidth="5" defaultRowHeight="12.75" x14ac:dyDescent="0.2"/>
  <cols>
    <col min="1" max="1" width="3.5" style="1" customWidth="1"/>
    <col min="2" max="16384" width="5" style="1"/>
  </cols>
  <sheetData>
    <row r="1" spans="2:30" s="2" customFormat="1" ht="48" customHeight="1" x14ac:dyDescent="0.2">
      <c r="B1" s="55" t="s">
        <v>584</v>
      </c>
      <c r="C1" s="55"/>
      <c r="D1" s="55"/>
      <c r="E1" s="55"/>
      <c r="F1" s="55"/>
      <c r="G1" s="55"/>
      <c r="H1" s="55"/>
      <c r="I1" s="55"/>
      <c r="J1" s="55"/>
      <c r="K1" s="55"/>
      <c r="L1" s="55"/>
      <c r="M1" s="55"/>
      <c r="N1" s="55"/>
      <c r="O1" s="55"/>
      <c r="P1" s="55"/>
      <c r="Q1" s="3"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x14ac:dyDescent="0.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x14ac:dyDescent="0.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x14ac:dyDescent="0.2">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x14ac:dyDescent="0.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x14ac:dyDescent="0.2">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x14ac:dyDescent="0.2">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x14ac:dyDescent="0.2">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x14ac:dyDescent="0.2">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x14ac:dyDescent="0.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x14ac:dyDescent="0.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x14ac:dyDescent="0.2">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x14ac:dyDescent="0.2">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x14ac:dyDescent="0.2">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x14ac:dyDescent="0.2">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x14ac:dyDescent="0.2">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x14ac:dyDescent="0.2">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x14ac:dyDescent="0.2">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x14ac:dyDescent="0.2">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x14ac:dyDescent="0.2">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x14ac:dyDescent="0.2">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x14ac:dyDescent="0.2">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x14ac:dyDescent="0.2">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x14ac:dyDescent="0.2">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x14ac:dyDescent="0.2">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x14ac:dyDescent="0.2">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x14ac:dyDescent="0.2">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x14ac:dyDescent="0.2">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x14ac:dyDescent="0.2">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x14ac:dyDescent="0.2">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x14ac:dyDescent="0.2">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x14ac:dyDescent="0.2">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x14ac:dyDescent="0.2">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x14ac:dyDescent="0.2">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x14ac:dyDescent="0.2">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x14ac:dyDescent="0.2">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x14ac:dyDescent="0.2">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x14ac:dyDescent="0.2">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x14ac:dyDescent="0.2">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x14ac:dyDescent="0.2">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x14ac:dyDescent="0.2">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x14ac:dyDescent="0.2">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x14ac:dyDescent="0.2">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x14ac:dyDescent="0.2">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x14ac:dyDescent="0.2">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x14ac:dyDescent="0.2">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491</v>
      </c>
      <c r="D4" s="99" t="s">
        <v>492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469</v>
      </c>
      <c r="Q6" s="80"/>
      <c r="R6" s="21"/>
      <c r="S6" s="20" t="s">
        <v>22</v>
      </c>
      <c r="T6" s="80" t="s">
        <v>470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471</v>
      </c>
      <c r="D11" s="73"/>
      <c r="E11" s="73"/>
      <c r="F11" s="73"/>
      <c r="G11" s="73"/>
      <c r="H11" s="73"/>
      <c r="I11" s="73" t="s">
        <v>493</v>
      </c>
      <c r="J11" s="73"/>
      <c r="K11" s="73"/>
      <c r="L11" s="73" t="s">
        <v>494</v>
      </c>
      <c r="M11" s="73"/>
      <c r="N11" s="73"/>
      <c r="O11" s="73"/>
      <c r="P11" s="27" t="s">
        <v>48</v>
      </c>
      <c r="Q11" s="27" t="s">
        <v>43</v>
      </c>
      <c r="R11" s="27">
        <v>6.91</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474</v>
      </c>
      <c r="J12" s="72"/>
      <c r="K12" s="72"/>
      <c r="L12" s="72" t="s">
        <v>475</v>
      </c>
      <c r="M12" s="72"/>
      <c r="N12" s="72"/>
      <c r="O12" s="72"/>
      <c r="P12" s="30" t="s">
        <v>476</v>
      </c>
      <c r="Q12" s="30" t="s">
        <v>43</v>
      </c>
      <c r="R12" s="31">
        <v>65</v>
      </c>
      <c r="S12" s="31" t="s">
        <v>44</v>
      </c>
      <c r="T12" s="31" t="s">
        <v>44</v>
      </c>
      <c r="U12" s="32" t="str">
        <f>IF(ISERR(T12/S12*100),"N/A",T12/S12*100)</f>
        <v>N/A</v>
      </c>
    </row>
    <row r="13" spans="1:34" ht="75" customHeight="1" thickTop="1" thickBot="1" x14ac:dyDescent="0.25">
      <c r="A13" s="25"/>
      <c r="B13" s="26" t="s">
        <v>62</v>
      </c>
      <c r="C13" s="73" t="s">
        <v>495</v>
      </c>
      <c r="D13" s="73"/>
      <c r="E13" s="73"/>
      <c r="F13" s="73"/>
      <c r="G13" s="73"/>
      <c r="H13" s="73"/>
      <c r="I13" s="73" t="s">
        <v>496</v>
      </c>
      <c r="J13" s="73"/>
      <c r="K13" s="73"/>
      <c r="L13" s="73" t="s">
        <v>497</v>
      </c>
      <c r="M13" s="73"/>
      <c r="N13" s="73"/>
      <c r="O13" s="73"/>
      <c r="P13" s="27" t="s">
        <v>48</v>
      </c>
      <c r="Q13" s="27" t="s">
        <v>43</v>
      </c>
      <c r="R13" s="27">
        <v>99</v>
      </c>
      <c r="S13" s="27" t="s">
        <v>44</v>
      </c>
      <c r="T13" s="27" t="s">
        <v>44</v>
      </c>
      <c r="U13" s="28" t="str">
        <f>IF(ISERR(T13/S13*100),"N/A",T13/S13*100)</f>
        <v>N/A</v>
      </c>
    </row>
    <row r="14" spans="1:34" ht="75" customHeight="1" thickTop="1" thickBot="1" x14ac:dyDescent="0.25">
      <c r="A14" s="25"/>
      <c r="B14" s="26" t="s">
        <v>71</v>
      </c>
      <c r="C14" s="73" t="s">
        <v>498</v>
      </c>
      <c r="D14" s="73"/>
      <c r="E14" s="73"/>
      <c r="F14" s="73"/>
      <c r="G14" s="73"/>
      <c r="H14" s="73"/>
      <c r="I14" s="73" t="s">
        <v>499</v>
      </c>
      <c r="J14" s="73"/>
      <c r="K14" s="73"/>
      <c r="L14" s="73" t="s">
        <v>482</v>
      </c>
      <c r="M14" s="73"/>
      <c r="N14" s="73"/>
      <c r="O14" s="73"/>
      <c r="P14" s="27" t="s">
        <v>48</v>
      </c>
      <c r="Q14" s="27" t="s">
        <v>75</v>
      </c>
      <c r="R14" s="27">
        <v>97</v>
      </c>
      <c r="S14" s="27">
        <v>97</v>
      </c>
      <c r="T14" s="27">
        <v>98.44</v>
      </c>
      <c r="U14" s="28">
        <f>IF(ISERR(T14/S14*100),"N/A",T14/S14*100)</f>
        <v>101.48453608247424</v>
      </c>
    </row>
    <row r="15" spans="1:34" ht="75" customHeight="1" thickTop="1" thickBot="1" x14ac:dyDescent="0.25">
      <c r="A15" s="25"/>
      <c r="B15" s="26" t="s">
        <v>87</v>
      </c>
      <c r="C15" s="73" t="s">
        <v>500</v>
      </c>
      <c r="D15" s="73"/>
      <c r="E15" s="73"/>
      <c r="F15" s="73"/>
      <c r="G15" s="73"/>
      <c r="H15" s="73"/>
      <c r="I15" s="73" t="s">
        <v>484</v>
      </c>
      <c r="J15" s="73"/>
      <c r="K15" s="73"/>
      <c r="L15" s="73" t="s">
        <v>485</v>
      </c>
      <c r="M15" s="73"/>
      <c r="N15" s="73"/>
      <c r="O15" s="73"/>
      <c r="P15" s="27" t="s">
        <v>48</v>
      </c>
      <c r="Q15" s="27" t="s">
        <v>291</v>
      </c>
      <c r="R15" s="27">
        <v>98</v>
      </c>
      <c r="S15" s="27">
        <v>98</v>
      </c>
      <c r="T15" s="27">
        <v>98.27</v>
      </c>
      <c r="U15" s="28">
        <f>IF(ISERR(T15/S15*100),"N/A",T15/S15*100)</f>
        <v>100.27551020408163</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15433.538091</f>
        <v>15433.538091</v>
      </c>
      <c r="S19" s="49">
        <f>11323.974589</f>
        <v>11323.974588999999</v>
      </c>
      <c r="T19" s="49">
        <f>12461.6339131</f>
        <v>12461.6339131</v>
      </c>
      <c r="U19" s="50">
        <f>+IF(ISERR(T19/S19*100),"N/A",T19/S19*100)</f>
        <v>110.046466593144</v>
      </c>
    </row>
    <row r="20" spans="2:21" ht="13.5" customHeight="1" thickBot="1" x14ac:dyDescent="0.25">
      <c r="B20" s="67" t="s">
        <v>106</v>
      </c>
      <c r="C20" s="68"/>
      <c r="D20" s="68"/>
      <c r="E20" s="51"/>
      <c r="F20" s="51"/>
      <c r="G20" s="51"/>
      <c r="H20" s="52"/>
      <c r="I20" s="52"/>
      <c r="J20" s="52"/>
      <c r="K20" s="52"/>
      <c r="L20" s="52"/>
      <c r="M20" s="52"/>
      <c r="N20" s="52"/>
      <c r="O20" s="52"/>
      <c r="P20" s="53"/>
      <c r="Q20" s="53"/>
      <c r="R20" s="49">
        <f>15700.611767</f>
        <v>15700.611767</v>
      </c>
      <c r="S20" s="49">
        <f>11928.555446</f>
        <v>11928.555446</v>
      </c>
      <c r="T20" s="49">
        <f>12461.6339131</f>
        <v>12461.6339131</v>
      </c>
      <c r="U20" s="50">
        <f>+IF(ISERR(T20/S20*100),"N/A",T20/S20*100)</f>
        <v>104.46892726879815</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501</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487</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502</v>
      </c>
      <c r="C25" s="60"/>
      <c r="D25" s="60"/>
      <c r="E25" s="60"/>
      <c r="F25" s="60"/>
      <c r="G25" s="60"/>
      <c r="H25" s="60"/>
      <c r="I25" s="60"/>
      <c r="J25" s="60"/>
      <c r="K25" s="60"/>
      <c r="L25" s="60"/>
      <c r="M25" s="60"/>
      <c r="N25" s="60"/>
      <c r="O25" s="60"/>
      <c r="P25" s="60"/>
      <c r="Q25" s="60"/>
      <c r="R25" s="60"/>
      <c r="S25" s="60"/>
      <c r="T25" s="60"/>
      <c r="U25" s="61"/>
    </row>
    <row r="26" spans="2:21" ht="33.6" customHeight="1" x14ac:dyDescent="0.2">
      <c r="B26" s="59" t="s">
        <v>503</v>
      </c>
      <c r="C26" s="60"/>
      <c r="D26" s="60"/>
      <c r="E26" s="60"/>
      <c r="F26" s="60"/>
      <c r="G26" s="60"/>
      <c r="H26" s="60"/>
      <c r="I26" s="60"/>
      <c r="J26" s="60"/>
      <c r="K26" s="60"/>
      <c r="L26" s="60"/>
      <c r="M26" s="60"/>
      <c r="N26" s="60"/>
      <c r="O26" s="60"/>
      <c r="P26" s="60"/>
      <c r="Q26" s="60"/>
      <c r="R26" s="60"/>
      <c r="S26" s="60"/>
      <c r="T26" s="60"/>
      <c r="U26" s="61"/>
    </row>
    <row r="27" spans="2:21" ht="24.6" customHeight="1" thickBot="1" x14ac:dyDescent="0.25">
      <c r="B27" s="62" t="s">
        <v>504</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505</v>
      </c>
      <c r="D4" s="99" t="s">
        <v>506</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507</v>
      </c>
      <c r="Q6" s="80"/>
      <c r="R6" s="21"/>
      <c r="S6" s="20" t="s">
        <v>22</v>
      </c>
      <c r="T6" s="80" t="s">
        <v>470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508</v>
      </c>
      <c r="D11" s="73"/>
      <c r="E11" s="73"/>
      <c r="F11" s="73"/>
      <c r="G11" s="73"/>
      <c r="H11" s="73"/>
      <c r="I11" s="73" t="s">
        <v>509</v>
      </c>
      <c r="J11" s="73"/>
      <c r="K11" s="73"/>
      <c r="L11" s="73" t="s">
        <v>510</v>
      </c>
      <c r="M11" s="73"/>
      <c r="N11" s="73"/>
      <c r="O11" s="73"/>
      <c r="P11" s="27" t="s">
        <v>476</v>
      </c>
      <c r="Q11" s="27" t="s">
        <v>43</v>
      </c>
      <c r="R11" s="54">
        <v>40</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511</v>
      </c>
      <c r="J12" s="72"/>
      <c r="K12" s="72"/>
      <c r="L12" s="72" t="s">
        <v>512</v>
      </c>
      <c r="M12" s="72"/>
      <c r="N12" s="72"/>
      <c r="O12" s="72"/>
      <c r="P12" s="30" t="s">
        <v>48</v>
      </c>
      <c r="Q12" s="30" t="s">
        <v>43</v>
      </c>
      <c r="R12" s="30">
        <v>0.81</v>
      </c>
      <c r="S12" s="30" t="s">
        <v>44</v>
      </c>
      <c r="T12" s="30" t="s">
        <v>44</v>
      </c>
      <c r="U12" s="32" t="str">
        <f>IF(ISERR((S12-T12)*100/S12+100),"N/A",(S12-T12)*100/S12+100)</f>
        <v>N/A</v>
      </c>
    </row>
    <row r="13" spans="1:34" ht="75" customHeight="1" thickTop="1" thickBot="1" x14ac:dyDescent="0.25">
      <c r="A13" s="25"/>
      <c r="B13" s="26" t="s">
        <v>62</v>
      </c>
      <c r="C13" s="73" t="s">
        <v>513</v>
      </c>
      <c r="D13" s="73"/>
      <c r="E13" s="73"/>
      <c r="F13" s="73"/>
      <c r="G13" s="73"/>
      <c r="H13" s="73"/>
      <c r="I13" s="73" t="s">
        <v>514</v>
      </c>
      <c r="J13" s="73"/>
      <c r="K13" s="73"/>
      <c r="L13" s="73" t="s">
        <v>515</v>
      </c>
      <c r="M13" s="73"/>
      <c r="N13" s="73"/>
      <c r="O13" s="73"/>
      <c r="P13" s="27" t="s">
        <v>48</v>
      </c>
      <c r="Q13" s="27" t="s">
        <v>43</v>
      </c>
      <c r="R13" s="27">
        <v>96</v>
      </c>
      <c r="S13" s="27" t="s">
        <v>44</v>
      </c>
      <c r="T13" s="27" t="s">
        <v>44</v>
      </c>
      <c r="U13" s="28" t="str">
        <f>IF(ISERR(T13/S13*100),"N/A",T13/S13*100)</f>
        <v>N/A</v>
      </c>
    </row>
    <row r="14" spans="1:34" ht="75" customHeight="1" thickTop="1" thickBot="1" x14ac:dyDescent="0.25">
      <c r="A14" s="25"/>
      <c r="B14" s="26" t="s">
        <v>71</v>
      </c>
      <c r="C14" s="73" t="s">
        <v>516</v>
      </c>
      <c r="D14" s="73"/>
      <c r="E14" s="73"/>
      <c r="F14" s="73"/>
      <c r="G14" s="73"/>
      <c r="H14" s="73"/>
      <c r="I14" s="73" t="s">
        <v>517</v>
      </c>
      <c r="J14" s="73"/>
      <c r="K14" s="73"/>
      <c r="L14" s="73" t="s">
        <v>518</v>
      </c>
      <c r="M14" s="73"/>
      <c r="N14" s="73"/>
      <c r="O14" s="73"/>
      <c r="P14" s="27" t="s">
        <v>48</v>
      </c>
      <c r="Q14" s="27" t="s">
        <v>75</v>
      </c>
      <c r="R14" s="27">
        <v>99</v>
      </c>
      <c r="S14" s="27">
        <v>99</v>
      </c>
      <c r="T14" s="27">
        <v>99.48</v>
      </c>
      <c r="U14" s="28">
        <f>IF(ISERR(T14/S14*100),"N/A",T14/S14*100)</f>
        <v>100.48484848484848</v>
      </c>
    </row>
    <row r="15" spans="1:34" ht="75" customHeight="1" thickTop="1" thickBot="1" x14ac:dyDescent="0.25">
      <c r="A15" s="25"/>
      <c r="B15" s="26" t="s">
        <v>87</v>
      </c>
      <c r="C15" s="73" t="s">
        <v>519</v>
      </c>
      <c r="D15" s="73"/>
      <c r="E15" s="73"/>
      <c r="F15" s="73"/>
      <c r="G15" s="73"/>
      <c r="H15" s="73"/>
      <c r="I15" s="73" t="s">
        <v>520</v>
      </c>
      <c r="J15" s="73"/>
      <c r="K15" s="73"/>
      <c r="L15" s="73" t="s">
        <v>521</v>
      </c>
      <c r="M15" s="73"/>
      <c r="N15" s="73"/>
      <c r="O15" s="73"/>
      <c r="P15" s="27" t="s">
        <v>522</v>
      </c>
      <c r="Q15" s="27" t="s">
        <v>523</v>
      </c>
      <c r="R15" s="54">
        <v>5742721</v>
      </c>
      <c r="S15" s="54">
        <v>4307080</v>
      </c>
      <c r="T15" s="54">
        <v>4427820</v>
      </c>
      <c r="U15" s="28">
        <f>IF(ISERR(T15/S15*100),"N/A",T15/S15*100)</f>
        <v>102.80329132498119</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17063.372467</f>
        <v>17063.372467000001</v>
      </c>
      <c r="S19" s="49">
        <f>12790.505921</f>
        <v>12790.505921</v>
      </c>
      <c r="T19" s="49">
        <f>13231.11968704</f>
        <v>13231.11968704</v>
      </c>
      <c r="U19" s="50">
        <f>+IF(ISERR(T19/S19*100),"N/A",T19/S19*100)</f>
        <v>103.44485017841696</v>
      </c>
    </row>
    <row r="20" spans="2:21" ht="13.5" customHeight="1" thickBot="1" x14ac:dyDescent="0.25">
      <c r="B20" s="67" t="s">
        <v>106</v>
      </c>
      <c r="C20" s="68"/>
      <c r="D20" s="68"/>
      <c r="E20" s="51"/>
      <c r="F20" s="51"/>
      <c r="G20" s="51"/>
      <c r="H20" s="52"/>
      <c r="I20" s="52"/>
      <c r="J20" s="52"/>
      <c r="K20" s="52"/>
      <c r="L20" s="52"/>
      <c r="M20" s="52"/>
      <c r="N20" s="52"/>
      <c r="O20" s="52"/>
      <c r="P20" s="53"/>
      <c r="Q20" s="53"/>
      <c r="R20" s="49">
        <f>17286.934018</f>
        <v>17286.934018</v>
      </c>
      <c r="S20" s="49">
        <f>12998.167214</f>
        <v>12998.167213999999</v>
      </c>
      <c r="T20" s="49">
        <f>13231.11968704</f>
        <v>13231.11968704</v>
      </c>
      <c r="U20" s="50">
        <f>+IF(ISERR(T20/S20*100),"N/A",T20/S20*100)</f>
        <v>101.79219477026803</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524</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525</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526</v>
      </c>
      <c r="C25" s="60"/>
      <c r="D25" s="60"/>
      <c r="E25" s="60"/>
      <c r="F25" s="60"/>
      <c r="G25" s="60"/>
      <c r="H25" s="60"/>
      <c r="I25" s="60"/>
      <c r="J25" s="60"/>
      <c r="K25" s="60"/>
      <c r="L25" s="60"/>
      <c r="M25" s="60"/>
      <c r="N25" s="60"/>
      <c r="O25" s="60"/>
      <c r="P25" s="60"/>
      <c r="Q25" s="60"/>
      <c r="R25" s="60"/>
      <c r="S25" s="60"/>
      <c r="T25" s="60"/>
      <c r="U25" s="61"/>
    </row>
    <row r="26" spans="2:21" ht="38.450000000000003" customHeight="1" x14ac:dyDescent="0.2">
      <c r="B26" s="59" t="s">
        <v>527</v>
      </c>
      <c r="C26" s="60"/>
      <c r="D26" s="60"/>
      <c r="E26" s="60"/>
      <c r="F26" s="60"/>
      <c r="G26" s="60"/>
      <c r="H26" s="60"/>
      <c r="I26" s="60"/>
      <c r="J26" s="60"/>
      <c r="K26" s="60"/>
      <c r="L26" s="60"/>
      <c r="M26" s="60"/>
      <c r="N26" s="60"/>
      <c r="O26" s="60"/>
      <c r="P26" s="60"/>
      <c r="Q26" s="60"/>
      <c r="R26" s="60"/>
      <c r="S26" s="60"/>
      <c r="T26" s="60"/>
      <c r="U26" s="61"/>
    </row>
    <row r="27" spans="2:21" ht="42.95" customHeight="1" thickBot="1" x14ac:dyDescent="0.25">
      <c r="B27" s="62" t="s">
        <v>528</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529</v>
      </c>
      <c r="D4" s="99" t="s">
        <v>530</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531</v>
      </c>
      <c r="D11" s="73"/>
      <c r="E11" s="73"/>
      <c r="F11" s="73"/>
      <c r="G11" s="73"/>
      <c r="H11" s="73"/>
      <c r="I11" s="73" t="s">
        <v>532</v>
      </c>
      <c r="J11" s="73"/>
      <c r="K11" s="73"/>
      <c r="L11" s="73" t="s">
        <v>533</v>
      </c>
      <c r="M11" s="73"/>
      <c r="N11" s="73"/>
      <c r="O11" s="73"/>
      <c r="P11" s="27" t="s">
        <v>534</v>
      </c>
      <c r="Q11" s="27" t="s">
        <v>43</v>
      </c>
      <c r="R11" s="54">
        <v>146183</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535</v>
      </c>
      <c r="J12" s="72"/>
      <c r="K12" s="72"/>
      <c r="L12" s="72" t="s">
        <v>536</v>
      </c>
      <c r="M12" s="72"/>
      <c r="N12" s="72"/>
      <c r="O12" s="72"/>
      <c r="P12" s="30" t="s">
        <v>48</v>
      </c>
      <c r="Q12" s="30" t="s">
        <v>61</v>
      </c>
      <c r="R12" s="31">
        <v>85</v>
      </c>
      <c r="S12" s="31" t="s">
        <v>44</v>
      </c>
      <c r="T12" s="31" t="s">
        <v>44</v>
      </c>
      <c r="U12" s="32" t="str">
        <f>IF(ISERR(T12/S12*100),"N/A",T12/S12*100)</f>
        <v>N/A</v>
      </c>
    </row>
    <row r="13" spans="1:34" ht="75" customHeight="1" thickTop="1" thickBot="1" x14ac:dyDescent="0.25">
      <c r="A13" s="25"/>
      <c r="B13" s="26" t="s">
        <v>62</v>
      </c>
      <c r="C13" s="73" t="s">
        <v>537</v>
      </c>
      <c r="D13" s="73"/>
      <c r="E13" s="73"/>
      <c r="F13" s="73"/>
      <c r="G13" s="73"/>
      <c r="H13" s="73"/>
      <c r="I13" s="73" t="s">
        <v>538</v>
      </c>
      <c r="J13" s="73"/>
      <c r="K13" s="73"/>
      <c r="L13" s="73" t="s">
        <v>539</v>
      </c>
      <c r="M13" s="73"/>
      <c r="N13" s="73"/>
      <c r="O13" s="73"/>
      <c r="P13" s="27" t="s">
        <v>212</v>
      </c>
      <c r="Q13" s="27" t="s">
        <v>43</v>
      </c>
      <c r="R13" s="27">
        <v>21.95</v>
      </c>
      <c r="S13" s="27" t="s">
        <v>44</v>
      </c>
      <c r="T13" s="27" t="s">
        <v>44</v>
      </c>
      <c r="U13" s="28" t="str">
        <f>IF(ISERR(T13/S13*100),"N/A",T13/S13*100)</f>
        <v>N/A</v>
      </c>
    </row>
    <row r="14" spans="1:34" ht="75" customHeight="1" thickTop="1" thickBot="1" x14ac:dyDescent="0.25">
      <c r="A14" s="25"/>
      <c r="B14" s="26" t="s">
        <v>71</v>
      </c>
      <c r="C14" s="73" t="s">
        <v>540</v>
      </c>
      <c r="D14" s="73"/>
      <c r="E14" s="73"/>
      <c r="F14" s="73"/>
      <c r="G14" s="73"/>
      <c r="H14" s="73"/>
      <c r="I14" s="73" t="s">
        <v>541</v>
      </c>
      <c r="J14" s="73"/>
      <c r="K14" s="73"/>
      <c r="L14" s="73" t="s">
        <v>542</v>
      </c>
      <c r="M14" s="73"/>
      <c r="N14" s="73"/>
      <c r="O14" s="73"/>
      <c r="P14" s="27" t="s">
        <v>48</v>
      </c>
      <c r="Q14" s="27" t="s">
        <v>258</v>
      </c>
      <c r="R14" s="27">
        <v>100</v>
      </c>
      <c r="S14" s="27">
        <v>50</v>
      </c>
      <c r="T14" s="27">
        <v>50</v>
      </c>
      <c r="U14" s="28">
        <f>IF(ISERR(T14/S14*100),"N/A",T14/S14*100)</f>
        <v>100</v>
      </c>
    </row>
    <row r="15" spans="1:34" ht="75" customHeight="1" thickTop="1" thickBot="1" x14ac:dyDescent="0.25">
      <c r="A15" s="25"/>
      <c r="B15" s="26" t="s">
        <v>87</v>
      </c>
      <c r="C15" s="73" t="s">
        <v>543</v>
      </c>
      <c r="D15" s="73"/>
      <c r="E15" s="73"/>
      <c r="F15" s="73"/>
      <c r="G15" s="73"/>
      <c r="H15" s="73"/>
      <c r="I15" s="73" t="s">
        <v>544</v>
      </c>
      <c r="J15" s="73"/>
      <c r="K15" s="73"/>
      <c r="L15" s="73" t="s">
        <v>545</v>
      </c>
      <c r="M15" s="73"/>
      <c r="N15" s="73"/>
      <c r="O15" s="73"/>
      <c r="P15" s="27" t="s">
        <v>48</v>
      </c>
      <c r="Q15" s="27" t="s">
        <v>91</v>
      </c>
      <c r="R15" s="27">
        <v>100</v>
      </c>
      <c r="S15" s="27">
        <v>68.97</v>
      </c>
      <c r="T15" s="27">
        <v>68.97</v>
      </c>
      <c r="U15" s="28">
        <f>IF(ISERR(T15/S15*100),"N/A",T15/S15*100)</f>
        <v>100</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4954.872398</f>
        <v>4954.8723980000004</v>
      </c>
      <c r="S19" s="49">
        <f>3631.040851</f>
        <v>3631.0408510000002</v>
      </c>
      <c r="T19" s="49">
        <f>1776.92820138</f>
        <v>1776.92820138</v>
      </c>
      <c r="U19" s="50">
        <f>+IF(ISERR(T19/S19*100),"N/A",T19/S19*100)</f>
        <v>48.937158084867818</v>
      </c>
    </row>
    <row r="20" spans="2:21" ht="13.5" customHeight="1" thickBot="1" x14ac:dyDescent="0.25">
      <c r="B20" s="67" t="s">
        <v>106</v>
      </c>
      <c r="C20" s="68"/>
      <c r="D20" s="68"/>
      <c r="E20" s="51"/>
      <c r="F20" s="51"/>
      <c r="G20" s="51"/>
      <c r="H20" s="52"/>
      <c r="I20" s="52"/>
      <c r="J20" s="52"/>
      <c r="K20" s="52"/>
      <c r="L20" s="52"/>
      <c r="M20" s="52"/>
      <c r="N20" s="52"/>
      <c r="O20" s="52"/>
      <c r="P20" s="53"/>
      <c r="Q20" s="53"/>
      <c r="R20" s="49">
        <f>5992.42866897</f>
        <v>5992.4286689700002</v>
      </c>
      <c r="S20" s="49">
        <f>1937.01286316</f>
        <v>1937.0128631600001</v>
      </c>
      <c r="T20" s="49">
        <f>1776.92820138</f>
        <v>1776.92820138</v>
      </c>
      <c r="U20" s="50">
        <f>+IF(ISERR(T20/S20*100),"N/A",T20/S20*100)</f>
        <v>91.735487934817257</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546</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547</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548</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549</v>
      </c>
      <c r="C26" s="60"/>
      <c r="D26" s="60"/>
      <c r="E26" s="60"/>
      <c r="F26" s="60"/>
      <c r="G26" s="60"/>
      <c r="H26" s="60"/>
      <c r="I26" s="60"/>
      <c r="J26" s="60"/>
      <c r="K26" s="60"/>
      <c r="L26" s="60"/>
      <c r="M26" s="60"/>
      <c r="N26" s="60"/>
      <c r="O26" s="60"/>
      <c r="P26" s="60"/>
      <c r="Q26" s="60"/>
      <c r="R26" s="60"/>
      <c r="S26" s="60"/>
      <c r="T26" s="60"/>
      <c r="U26" s="61"/>
    </row>
    <row r="27" spans="2:21" ht="34.5" customHeight="1" thickBot="1" x14ac:dyDescent="0.25">
      <c r="B27" s="62" t="s">
        <v>550</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551</v>
      </c>
      <c r="D4" s="99" t="s">
        <v>552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553</v>
      </c>
      <c r="D11" s="73"/>
      <c r="E11" s="73"/>
      <c r="F11" s="73"/>
      <c r="G11" s="73"/>
      <c r="H11" s="73"/>
      <c r="I11" s="73" t="s">
        <v>535</v>
      </c>
      <c r="J11" s="73"/>
      <c r="K11" s="73"/>
      <c r="L11" s="73" t="s">
        <v>536</v>
      </c>
      <c r="M11" s="73"/>
      <c r="N11" s="73"/>
      <c r="O11" s="73"/>
      <c r="P11" s="27" t="s">
        <v>48</v>
      </c>
      <c r="Q11" s="27" t="s">
        <v>61</v>
      </c>
      <c r="R11" s="54">
        <v>85</v>
      </c>
      <c r="S11" s="54" t="s">
        <v>44</v>
      </c>
      <c r="T11" s="54" t="s">
        <v>44</v>
      </c>
      <c r="U11" s="28" t="str">
        <f t="shared" ref="U11:U19" si="0">IF(ISERR(T11/S11*100),"N/A",T11/S11*100)</f>
        <v>N/A</v>
      </c>
    </row>
    <row r="12" spans="1:34" ht="75" customHeight="1" thickTop="1" x14ac:dyDescent="0.2">
      <c r="A12" s="25"/>
      <c r="B12" s="26" t="s">
        <v>62</v>
      </c>
      <c r="C12" s="73" t="s">
        <v>554</v>
      </c>
      <c r="D12" s="73"/>
      <c r="E12" s="73"/>
      <c r="F12" s="73"/>
      <c r="G12" s="73"/>
      <c r="H12" s="73"/>
      <c r="I12" s="73" t="s">
        <v>555</v>
      </c>
      <c r="J12" s="73"/>
      <c r="K12" s="73"/>
      <c r="L12" s="73" t="s">
        <v>556</v>
      </c>
      <c r="M12" s="73"/>
      <c r="N12" s="73"/>
      <c r="O12" s="73"/>
      <c r="P12" s="27" t="s">
        <v>557</v>
      </c>
      <c r="Q12" s="27" t="s">
        <v>284</v>
      </c>
      <c r="R12" s="27">
        <v>18</v>
      </c>
      <c r="S12" s="27" t="s">
        <v>44</v>
      </c>
      <c r="T12" s="27" t="s">
        <v>44</v>
      </c>
      <c r="U12" s="28" t="str">
        <f t="shared" si="0"/>
        <v>N/A</v>
      </c>
    </row>
    <row r="13" spans="1:34" ht="75" customHeight="1" thickBot="1" x14ac:dyDescent="0.25">
      <c r="A13" s="25"/>
      <c r="B13" s="29" t="s">
        <v>45</v>
      </c>
      <c r="C13" s="72" t="s">
        <v>45</v>
      </c>
      <c r="D13" s="72"/>
      <c r="E13" s="72"/>
      <c r="F13" s="72"/>
      <c r="G13" s="72"/>
      <c r="H13" s="72"/>
      <c r="I13" s="72" t="s">
        <v>558</v>
      </c>
      <c r="J13" s="72"/>
      <c r="K13" s="72"/>
      <c r="L13" s="72" t="s">
        <v>559</v>
      </c>
      <c r="M13" s="72"/>
      <c r="N13" s="72"/>
      <c r="O13" s="72"/>
      <c r="P13" s="30" t="s">
        <v>48</v>
      </c>
      <c r="Q13" s="30" t="s">
        <v>43</v>
      </c>
      <c r="R13" s="30">
        <v>80.510000000000005</v>
      </c>
      <c r="S13" s="30" t="s">
        <v>44</v>
      </c>
      <c r="T13" s="30" t="s">
        <v>44</v>
      </c>
      <c r="U13" s="32" t="str">
        <f t="shared" si="0"/>
        <v>N/A</v>
      </c>
    </row>
    <row r="14" spans="1:34" ht="75" customHeight="1" thickTop="1" x14ac:dyDescent="0.2">
      <c r="A14" s="25"/>
      <c r="B14" s="26" t="s">
        <v>71</v>
      </c>
      <c r="C14" s="73" t="s">
        <v>560</v>
      </c>
      <c r="D14" s="73"/>
      <c r="E14" s="73"/>
      <c r="F14" s="73"/>
      <c r="G14" s="73"/>
      <c r="H14" s="73"/>
      <c r="I14" s="73" t="s">
        <v>561</v>
      </c>
      <c r="J14" s="73"/>
      <c r="K14" s="73"/>
      <c r="L14" s="73" t="s">
        <v>562</v>
      </c>
      <c r="M14" s="73"/>
      <c r="N14" s="73"/>
      <c r="O14" s="73"/>
      <c r="P14" s="27" t="s">
        <v>48</v>
      </c>
      <c r="Q14" s="27" t="s">
        <v>43</v>
      </c>
      <c r="R14" s="27">
        <v>90</v>
      </c>
      <c r="S14" s="27" t="s">
        <v>44</v>
      </c>
      <c r="T14" s="27" t="s">
        <v>44</v>
      </c>
      <c r="U14" s="28" t="str">
        <f t="shared" si="0"/>
        <v>N/A</v>
      </c>
    </row>
    <row r="15" spans="1:34" ht="75" customHeight="1" thickBot="1" x14ac:dyDescent="0.25">
      <c r="A15" s="25"/>
      <c r="B15" s="29" t="s">
        <v>45</v>
      </c>
      <c r="C15" s="72" t="s">
        <v>45</v>
      </c>
      <c r="D15" s="72"/>
      <c r="E15" s="72"/>
      <c r="F15" s="72"/>
      <c r="G15" s="72"/>
      <c r="H15" s="72"/>
      <c r="I15" s="72" t="s">
        <v>563</v>
      </c>
      <c r="J15" s="72"/>
      <c r="K15" s="72"/>
      <c r="L15" s="72" t="s">
        <v>564</v>
      </c>
      <c r="M15" s="72"/>
      <c r="N15" s="72"/>
      <c r="O15" s="72"/>
      <c r="P15" s="30" t="s">
        <v>48</v>
      </c>
      <c r="Q15" s="30" t="s">
        <v>61</v>
      </c>
      <c r="R15" s="30">
        <v>80</v>
      </c>
      <c r="S15" s="30" t="s">
        <v>44</v>
      </c>
      <c r="T15" s="30" t="s">
        <v>44</v>
      </c>
      <c r="U15" s="32" t="str">
        <f t="shared" si="0"/>
        <v>N/A</v>
      </c>
    </row>
    <row r="16" spans="1:34" ht="75" customHeight="1" thickTop="1" x14ac:dyDescent="0.2">
      <c r="A16" s="25"/>
      <c r="B16" s="26" t="s">
        <v>87</v>
      </c>
      <c r="C16" s="73" t="s">
        <v>565</v>
      </c>
      <c r="D16" s="73"/>
      <c r="E16" s="73"/>
      <c r="F16" s="73"/>
      <c r="G16" s="73"/>
      <c r="H16" s="73"/>
      <c r="I16" s="73" t="s">
        <v>566</v>
      </c>
      <c r="J16" s="73"/>
      <c r="K16" s="73"/>
      <c r="L16" s="73" t="s">
        <v>567</v>
      </c>
      <c r="M16" s="73"/>
      <c r="N16" s="73"/>
      <c r="O16" s="73"/>
      <c r="P16" s="27" t="s">
        <v>48</v>
      </c>
      <c r="Q16" s="27" t="s">
        <v>61</v>
      </c>
      <c r="R16" s="27">
        <v>80.319999999999993</v>
      </c>
      <c r="S16" s="27" t="s">
        <v>44</v>
      </c>
      <c r="T16" s="27" t="s">
        <v>44</v>
      </c>
      <c r="U16" s="28" t="str">
        <f t="shared" si="0"/>
        <v>N/A</v>
      </c>
    </row>
    <row r="17" spans="1:22" ht="75" customHeight="1" x14ac:dyDescent="0.2">
      <c r="A17" s="25"/>
      <c r="B17" s="29" t="s">
        <v>45</v>
      </c>
      <c r="C17" s="72" t="s">
        <v>45</v>
      </c>
      <c r="D17" s="72"/>
      <c r="E17" s="72"/>
      <c r="F17" s="72"/>
      <c r="G17" s="72"/>
      <c r="H17" s="72"/>
      <c r="I17" s="72" t="s">
        <v>568</v>
      </c>
      <c r="J17" s="72"/>
      <c r="K17" s="72"/>
      <c r="L17" s="72" t="s">
        <v>569</v>
      </c>
      <c r="M17" s="72"/>
      <c r="N17" s="72"/>
      <c r="O17" s="72"/>
      <c r="P17" s="30" t="s">
        <v>48</v>
      </c>
      <c r="Q17" s="30" t="s">
        <v>570</v>
      </c>
      <c r="R17" s="30">
        <v>95</v>
      </c>
      <c r="S17" s="30" t="s">
        <v>44</v>
      </c>
      <c r="T17" s="30" t="s">
        <v>44</v>
      </c>
      <c r="U17" s="32" t="str">
        <f t="shared" si="0"/>
        <v>N/A</v>
      </c>
    </row>
    <row r="18" spans="1:22" ht="75" customHeight="1" x14ac:dyDescent="0.2">
      <c r="A18" s="25"/>
      <c r="B18" s="29" t="s">
        <v>45</v>
      </c>
      <c r="C18" s="72" t="s">
        <v>571</v>
      </c>
      <c r="D18" s="72"/>
      <c r="E18" s="72"/>
      <c r="F18" s="72"/>
      <c r="G18" s="72"/>
      <c r="H18" s="72"/>
      <c r="I18" s="72" t="s">
        <v>572</v>
      </c>
      <c r="J18" s="72"/>
      <c r="K18" s="72"/>
      <c r="L18" s="72" t="s">
        <v>573</v>
      </c>
      <c r="M18" s="72"/>
      <c r="N18" s="72"/>
      <c r="O18" s="72"/>
      <c r="P18" s="30" t="s">
        <v>48</v>
      </c>
      <c r="Q18" s="30" t="s">
        <v>442</v>
      </c>
      <c r="R18" s="30">
        <v>80</v>
      </c>
      <c r="S18" s="30">
        <v>50</v>
      </c>
      <c r="T18" s="30">
        <v>1.2</v>
      </c>
      <c r="U18" s="32">
        <f t="shared" si="0"/>
        <v>2.4</v>
      </c>
    </row>
    <row r="19" spans="1:22" ht="75" customHeight="1" thickBot="1" x14ac:dyDescent="0.25">
      <c r="A19" s="25"/>
      <c r="B19" s="29" t="s">
        <v>45</v>
      </c>
      <c r="C19" s="72" t="s">
        <v>45</v>
      </c>
      <c r="D19" s="72"/>
      <c r="E19" s="72"/>
      <c r="F19" s="72"/>
      <c r="G19" s="72"/>
      <c r="H19" s="72"/>
      <c r="I19" s="72" t="s">
        <v>574</v>
      </c>
      <c r="J19" s="72"/>
      <c r="K19" s="72"/>
      <c r="L19" s="72" t="s">
        <v>575</v>
      </c>
      <c r="M19" s="72"/>
      <c r="N19" s="72"/>
      <c r="O19" s="72"/>
      <c r="P19" s="30" t="s">
        <v>48</v>
      </c>
      <c r="Q19" s="30" t="s">
        <v>258</v>
      </c>
      <c r="R19" s="30">
        <v>66</v>
      </c>
      <c r="S19" s="30">
        <v>100</v>
      </c>
      <c r="T19" s="30">
        <v>0</v>
      </c>
      <c r="U19" s="32">
        <f t="shared" si="0"/>
        <v>0</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f>3522.042129</f>
        <v>3522.0421289999999</v>
      </c>
      <c r="S23" s="49">
        <f>102.312115</f>
        <v>102.31211500000001</v>
      </c>
      <c r="T23" s="49">
        <f>831.69114335</f>
        <v>831.69114334999995</v>
      </c>
      <c r="U23" s="50">
        <f>+IF(ISERR(T23/S23*100),"N/A",T23/S23*100)</f>
        <v>812.89605180188073</v>
      </c>
    </row>
    <row r="24" spans="1:22" ht="13.5" customHeight="1" thickBot="1" x14ac:dyDescent="0.25">
      <c r="B24" s="67" t="s">
        <v>106</v>
      </c>
      <c r="C24" s="68"/>
      <c r="D24" s="68"/>
      <c r="E24" s="51"/>
      <c r="F24" s="51"/>
      <c r="G24" s="51"/>
      <c r="H24" s="52"/>
      <c r="I24" s="52"/>
      <c r="J24" s="52"/>
      <c r="K24" s="52"/>
      <c r="L24" s="52"/>
      <c r="M24" s="52"/>
      <c r="N24" s="52"/>
      <c r="O24" s="52"/>
      <c r="P24" s="53"/>
      <c r="Q24" s="53"/>
      <c r="R24" s="49">
        <f>6353.46231173</f>
        <v>6353.4623117299998</v>
      </c>
      <c r="S24" s="49">
        <f>862.66701483</f>
        <v>862.66701482999997</v>
      </c>
      <c r="T24" s="49">
        <f>831.69114335</f>
        <v>831.69114334999995</v>
      </c>
      <c r="U24" s="50">
        <f>+IF(ISERR(T24/S24*100),"N/A",T24/S24*100)</f>
        <v>96.409289917488707</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547</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576</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577</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578</v>
      </c>
      <c r="C30" s="60"/>
      <c r="D30" s="60"/>
      <c r="E30" s="60"/>
      <c r="F30" s="60"/>
      <c r="G30" s="60"/>
      <c r="H30" s="60"/>
      <c r="I30" s="60"/>
      <c r="J30" s="60"/>
      <c r="K30" s="60"/>
      <c r="L30" s="60"/>
      <c r="M30" s="60"/>
      <c r="N30" s="60"/>
      <c r="O30" s="60"/>
      <c r="P30" s="60"/>
      <c r="Q30" s="60"/>
      <c r="R30" s="60"/>
      <c r="S30" s="60"/>
      <c r="T30" s="60"/>
      <c r="U30" s="61"/>
    </row>
    <row r="31" spans="1:22" ht="34.5" customHeight="1" x14ac:dyDescent="0.2">
      <c r="B31" s="59" t="s">
        <v>579</v>
      </c>
      <c r="C31" s="60"/>
      <c r="D31" s="60"/>
      <c r="E31" s="60"/>
      <c r="F31" s="60"/>
      <c r="G31" s="60"/>
      <c r="H31" s="60"/>
      <c r="I31" s="60"/>
      <c r="J31" s="60"/>
      <c r="K31" s="60"/>
      <c r="L31" s="60"/>
      <c r="M31" s="60"/>
      <c r="N31" s="60"/>
      <c r="O31" s="60"/>
      <c r="P31" s="60"/>
      <c r="Q31" s="60"/>
      <c r="R31" s="60"/>
      <c r="S31" s="60"/>
      <c r="T31" s="60"/>
      <c r="U31" s="61"/>
    </row>
    <row r="32" spans="1:22" ht="34.5" customHeight="1" x14ac:dyDescent="0.2">
      <c r="B32" s="59" t="s">
        <v>580</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581</v>
      </c>
      <c r="C33" s="60"/>
      <c r="D33" s="60"/>
      <c r="E33" s="60"/>
      <c r="F33" s="60"/>
      <c r="G33" s="60"/>
      <c r="H33" s="60"/>
      <c r="I33" s="60"/>
      <c r="J33" s="60"/>
      <c r="K33" s="60"/>
      <c r="L33" s="60"/>
      <c r="M33" s="60"/>
      <c r="N33" s="60"/>
      <c r="O33" s="60"/>
      <c r="P33" s="60"/>
      <c r="Q33" s="60"/>
      <c r="R33" s="60"/>
      <c r="S33" s="60"/>
      <c r="T33" s="60"/>
      <c r="U33" s="61"/>
    </row>
    <row r="34" spans="2:21" ht="53.85" customHeight="1" x14ac:dyDescent="0.2">
      <c r="B34" s="59" t="s">
        <v>582</v>
      </c>
      <c r="C34" s="60"/>
      <c r="D34" s="60"/>
      <c r="E34" s="60"/>
      <c r="F34" s="60"/>
      <c r="G34" s="60"/>
      <c r="H34" s="60"/>
      <c r="I34" s="60"/>
      <c r="J34" s="60"/>
      <c r="K34" s="60"/>
      <c r="L34" s="60"/>
      <c r="M34" s="60"/>
      <c r="N34" s="60"/>
      <c r="O34" s="60"/>
      <c r="P34" s="60"/>
      <c r="Q34" s="60"/>
      <c r="R34" s="60"/>
      <c r="S34" s="60"/>
      <c r="T34" s="60"/>
      <c r="U34" s="61"/>
    </row>
    <row r="35" spans="2:21" ht="26.45" customHeight="1" thickBot="1" x14ac:dyDescent="0.25">
      <c r="B35" s="62" t="s">
        <v>583</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39</v>
      </c>
      <c r="D11" s="73"/>
      <c r="E11" s="73"/>
      <c r="F11" s="73"/>
      <c r="G11" s="73"/>
      <c r="H11" s="73"/>
      <c r="I11" s="73" t="s">
        <v>40</v>
      </c>
      <c r="J11" s="73"/>
      <c r="K11" s="73"/>
      <c r="L11" s="73" t="s">
        <v>41</v>
      </c>
      <c r="M11" s="73"/>
      <c r="N11" s="73"/>
      <c r="O11" s="73"/>
      <c r="P11" s="27" t="s">
        <v>42</v>
      </c>
      <c r="Q11" s="27" t="s">
        <v>43</v>
      </c>
      <c r="R11" s="27">
        <v>5</v>
      </c>
      <c r="S11" s="27" t="s">
        <v>44</v>
      </c>
      <c r="T11" s="27" t="s">
        <v>44</v>
      </c>
      <c r="U11" s="28" t="str">
        <f>IF(ISERR((S11-T11)*100/S11+100),"N/A",(S11-T11)*100/S11+100)</f>
        <v>N/A</v>
      </c>
    </row>
    <row r="12" spans="1:34" ht="75" customHeight="1" x14ac:dyDescent="0.2">
      <c r="A12" s="25"/>
      <c r="B12" s="29" t="s">
        <v>45</v>
      </c>
      <c r="C12" s="72" t="s">
        <v>45</v>
      </c>
      <c r="D12" s="72"/>
      <c r="E12" s="72"/>
      <c r="F12" s="72"/>
      <c r="G12" s="72"/>
      <c r="H12" s="72"/>
      <c r="I12" s="72" t="s">
        <v>46</v>
      </c>
      <c r="J12" s="72"/>
      <c r="K12" s="72"/>
      <c r="L12" s="72" t="s">
        <v>47</v>
      </c>
      <c r="M12" s="72"/>
      <c r="N12" s="72"/>
      <c r="O12" s="72"/>
      <c r="P12" s="30" t="s">
        <v>48</v>
      </c>
      <c r="Q12" s="30" t="s">
        <v>49</v>
      </c>
      <c r="R12" s="31">
        <v>12</v>
      </c>
      <c r="S12" s="31" t="s">
        <v>44</v>
      </c>
      <c r="T12" s="31" t="s">
        <v>44</v>
      </c>
      <c r="U12" s="32" t="str">
        <f>IF(ISERR((S12-T12)*100/S12+100),"N/A",(S12-T12)*100/S12+100)</f>
        <v>N/A</v>
      </c>
    </row>
    <row r="13" spans="1:34" ht="75" customHeight="1" x14ac:dyDescent="0.2">
      <c r="A13" s="25"/>
      <c r="B13" s="29" t="s">
        <v>45</v>
      </c>
      <c r="C13" s="72" t="s">
        <v>45</v>
      </c>
      <c r="D13" s="72"/>
      <c r="E13" s="72"/>
      <c r="F13" s="72"/>
      <c r="G13" s="72"/>
      <c r="H13" s="72"/>
      <c r="I13" s="72" t="s">
        <v>50</v>
      </c>
      <c r="J13" s="72"/>
      <c r="K13" s="72"/>
      <c r="L13" s="72" t="s">
        <v>51</v>
      </c>
      <c r="M13" s="72"/>
      <c r="N13" s="72"/>
      <c r="O13" s="72"/>
      <c r="P13" s="30" t="s">
        <v>42</v>
      </c>
      <c r="Q13" s="30" t="s">
        <v>43</v>
      </c>
      <c r="R13" s="30">
        <v>9.5</v>
      </c>
      <c r="S13" s="30" t="s">
        <v>44</v>
      </c>
      <c r="T13" s="30" t="s">
        <v>44</v>
      </c>
      <c r="U13" s="32" t="str">
        <f>IF(ISERR((S13-T13)*100/S13+100),"N/A",(S13-T13)*100/S13+100)</f>
        <v>N/A</v>
      </c>
    </row>
    <row r="14" spans="1:34" ht="75" customHeight="1" x14ac:dyDescent="0.2">
      <c r="A14" s="25"/>
      <c r="B14" s="29" t="s">
        <v>45</v>
      </c>
      <c r="C14" s="72" t="s">
        <v>45</v>
      </c>
      <c r="D14" s="72"/>
      <c r="E14" s="72"/>
      <c r="F14" s="72"/>
      <c r="G14" s="72"/>
      <c r="H14" s="72"/>
      <c r="I14" s="72" t="s">
        <v>52</v>
      </c>
      <c r="J14" s="72"/>
      <c r="K14" s="72"/>
      <c r="L14" s="72" t="s">
        <v>53</v>
      </c>
      <c r="M14" s="72"/>
      <c r="N14" s="72"/>
      <c r="O14" s="72"/>
      <c r="P14" s="30" t="s">
        <v>48</v>
      </c>
      <c r="Q14" s="30" t="s">
        <v>43</v>
      </c>
      <c r="R14" s="31">
        <v>84.6</v>
      </c>
      <c r="S14" s="31" t="s">
        <v>44</v>
      </c>
      <c r="T14" s="31" t="s">
        <v>44</v>
      </c>
      <c r="U14" s="32" t="str">
        <f>IF(ISERR(T14/S14*100),"N/A",T14/S14*100)</f>
        <v>N/A</v>
      </c>
    </row>
    <row r="15" spans="1:34" ht="75" customHeight="1" x14ac:dyDescent="0.2">
      <c r="A15" s="25"/>
      <c r="B15" s="29" t="s">
        <v>45</v>
      </c>
      <c r="C15" s="72" t="s">
        <v>45</v>
      </c>
      <c r="D15" s="72"/>
      <c r="E15" s="72"/>
      <c r="F15" s="72"/>
      <c r="G15" s="72"/>
      <c r="H15" s="72"/>
      <c r="I15" s="72" t="s">
        <v>54</v>
      </c>
      <c r="J15" s="72"/>
      <c r="K15" s="72"/>
      <c r="L15" s="72" t="s">
        <v>55</v>
      </c>
      <c r="M15" s="72"/>
      <c r="N15" s="72"/>
      <c r="O15" s="72"/>
      <c r="P15" s="30" t="s">
        <v>42</v>
      </c>
      <c r="Q15" s="30" t="s">
        <v>43</v>
      </c>
      <c r="R15" s="30">
        <v>0.85</v>
      </c>
      <c r="S15" s="30" t="s">
        <v>44</v>
      </c>
      <c r="T15" s="30" t="s">
        <v>44</v>
      </c>
      <c r="U15" s="32" t="str">
        <f>IF(ISERR((S15-T15)*100/S15+100),"N/A",(S15-T15)*100/S15+100)</f>
        <v>N/A</v>
      </c>
    </row>
    <row r="16" spans="1:34" ht="75" customHeight="1" x14ac:dyDescent="0.2">
      <c r="A16" s="25"/>
      <c r="B16" s="29" t="s">
        <v>45</v>
      </c>
      <c r="C16" s="72" t="s">
        <v>45</v>
      </c>
      <c r="D16" s="72"/>
      <c r="E16" s="72"/>
      <c r="F16" s="72"/>
      <c r="G16" s="72"/>
      <c r="H16" s="72"/>
      <c r="I16" s="72" t="s">
        <v>56</v>
      </c>
      <c r="J16" s="72"/>
      <c r="K16" s="72"/>
      <c r="L16" s="72" t="s">
        <v>57</v>
      </c>
      <c r="M16" s="72"/>
      <c r="N16" s="72"/>
      <c r="O16" s="72"/>
      <c r="P16" s="30" t="s">
        <v>58</v>
      </c>
      <c r="Q16" s="30" t="s">
        <v>43</v>
      </c>
      <c r="R16" s="31">
        <v>78.19</v>
      </c>
      <c r="S16" s="31" t="s">
        <v>44</v>
      </c>
      <c r="T16" s="31" t="s">
        <v>44</v>
      </c>
      <c r="U16" s="32" t="str">
        <f>IF(ISERR(T16/S16*100),"N/A",T16/S16*100)</f>
        <v>N/A</v>
      </c>
    </row>
    <row r="17" spans="1:22" ht="75" customHeight="1" thickBot="1" x14ac:dyDescent="0.25">
      <c r="A17" s="25"/>
      <c r="B17" s="29" t="s">
        <v>45</v>
      </c>
      <c r="C17" s="72" t="s">
        <v>45</v>
      </c>
      <c r="D17" s="72"/>
      <c r="E17" s="72"/>
      <c r="F17" s="72"/>
      <c r="G17" s="72"/>
      <c r="H17" s="72"/>
      <c r="I17" s="72" t="s">
        <v>59</v>
      </c>
      <c r="J17" s="72"/>
      <c r="K17" s="72"/>
      <c r="L17" s="72" t="s">
        <v>60</v>
      </c>
      <c r="M17" s="72"/>
      <c r="N17" s="72"/>
      <c r="O17" s="72"/>
      <c r="P17" s="30" t="s">
        <v>48</v>
      </c>
      <c r="Q17" s="30" t="s">
        <v>61</v>
      </c>
      <c r="R17" s="31">
        <v>90</v>
      </c>
      <c r="S17" s="31" t="s">
        <v>44</v>
      </c>
      <c r="T17" s="31" t="s">
        <v>44</v>
      </c>
      <c r="U17" s="32" t="str">
        <f>IF(ISERR(T17/S17*100),"N/A",T17/S17*100)</f>
        <v>N/A</v>
      </c>
    </row>
    <row r="18" spans="1:22" ht="75" customHeight="1" thickTop="1" x14ac:dyDescent="0.2">
      <c r="A18" s="25"/>
      <c r="B18" s="26" t="s">
        <v>62</v>
      </c>
      <c r="C18" s="73" t="s">
        <v>63</v>
      </c>
      <c r="D18" s="73"/>
      <c r="E18" s="73"/>
      <c r="F18" s="73"/>
      <c r="G18" s="73"/>
      <c r="H18" s="73"/>
      <c r="I18" s="73" t="s">
        <v>64</v>
      </c>
      <c r="J18" s="73"/>
      <c r="K18" s="73"/>
      <c r="L18" s="73" t="s">
        <v>65</v>
      </c>
      <c r="M18" s="73"/>
      <c r="N18" s="73"/>
      <c r="O18" s="73"/>
      <c r="P18" s="27" t="s">
        <v>48</v>
      </c>
      <c r="Q18" s="27" t="s">
        <v>43</v>
      </c>
      <c r="R18" s="27">
        <v>12</v>
      </c>
      <c r="S18" s="27" t="s">
        <v>44</v>
      </c>
      <c r="T18" s="27" t="s">
        <v>44</v>
      </c>
      <c r="U18" s="28" t="str">
        <f>IF(ISERR((S18-T18)*100/S18+100),"N/A",(S18-T18)*100/S18+100)</f>
        <v>N/A</v>
      </c>
    </row>
    <row r="19" spans="1:22" ht="75" customHeight="1" x14ac:dyDescent="0.2">
      <c r="A19" s="25"/>
      <c r="B19" s="29" t="s">
        <v>45</v>
      </c>
      <c r="C19" s="72" t="s">
        <v>45</v>
      </c>
      <c r="D19" s="72"/>
      <c r="E19" s="72"/>
      <c r="F19" s="72"/>
      <c r="G19" s="72"/>
      <c r="H19" s="72"/>
      <c r="I19" s="72" t="s">
        <v>66</v>
      </c>
      <c r="J19" s="72"/>
      <c r="K19" s="72"/>
      <c r="L19" s="72" t="s">
        <v>67</v>
      </c>
      <c r="M19" s="72"/>
      <c r="N19" s="72"/>
      <c r="O19" s="72"/>
      <c r="P19" s="30" t="s">
        <v>48</v>
      </c>
      <c r="Q19" s="30" t="s">
        <v>43</v>
      </c>
      <c r="R19" s="30">
        <v>66.5</v>
      </c>
      <c r="S19" s="30" t="s">
        <v>44</v>
      </c>
      <c r="T19" s="30" t="s">
        <v>44</v>
      </c>
      <c r="U19" s="32" t="str">
        <f>IF(ISERR(T19/S19*100),"N/A",T19/S19*100)</f>
        <v>N/A</v>
      </c>
    </row>
    <row r="20" spans="1:22" ht="75" customHeight="1" thickBot="1" x14ac:dyDescent="0.25">
      <c r="A20" s="25"/>
      <c r="B20" s="29" t="s">
        <v>45</v>
      </c>
      <c r="C20" s="72" t="s">
        <v>45</v>
      </c>
      <c r="D20" s="72"/>
      <c r="E20" s="72"/>
      <c r="F20" s="72"/>
      <c r="G20" s="72"/>
      <c r="H20" s="72"/>
      <c r="I20" s="72" t="s">
        <v>68</v>
      </c>
      <c r="J20" s="72"/>
      <c r="K20" s="72"/>
      <c r="L20" s="72" t="s">
        <v>69</v>
      </c>
      <c r="M20" s="72"/>
      <c r="N20" s="72"/>
      <c r="O20" s="72"/>
      <c r="P20" s="30" t="s">
        <v>70</v>
      </c>
      <c r="Q20" s="30" t="s">
        <v>43</v>
      </c>
      <c r="R20" s="30">
        <v>10.07</v>
      </c>
      <c r="S20" s="30" t="s">
        <v>44</v>
      </c>
      <c r="T20" s="30" t="s">
        <v>44</v>
      </c>
      <c r="U20" s="32" t="str">
        <f>IF(ISERR((S20-T20)*100/S20+100),"N/A",(S20-T20)*100/S20+100)</f>
        <v>N/A</v>
      </c>
    </row>
    <row r="21" spans="1:22" ht="75" customHeight="1" thickTop="1" x14ac:dyDescent="0.2">
      <c r="A21" s="25"/>
      <c r="B21" s="26" t="s">
        <v>71</v>
      </c>
      <c r="C21" s="73" t="s">
        <v>72</v>
      </c>
      <c r="D21" s="73"/>
      <c r="E21" s="73"/>
      <c r="F21" s="73"/>
      <c r="G21" s="73"/>
      <c r="H21" s="73"/>
      <c r="I21" s="73" t="s">
        <v>73</v>
      </c>
      <c r="J21" s="73"/>
      <c r="K21" s="73"/>
      <c r="L21" s="73" t="s">
        <v>74</v>
      </c>
      <c r="M21" s="73"/>
      <c r="N21" s="73"/>
      <c r="O21" s="73"/>
      <c r="P21" s="27" t="s">
        <v>48</v>
      </c>
      <c r="Q21" s="27" t="s">
        <v>75</v>
      </c>
      <c r="R21" s="27">
        <v>30</v>
      </c>
      <c r="S21" s="27">
        <v>15</v>
      </c>
      <c r="T21" s="27">
        <v>12.45</v>
      </c>
      <c r="U21" s="28">
        <f t="shared" ref="U21:U29" si="0">IF(ISERR(T21/S21*100),"N/A",T21/S21*100)</f>
        <v>83</v>
      </c>
    </row>
    <row r="22" spans="1:22" ht="75" customHeight="1" x14ac:dyDescent="0.2">
      <c r="A22" s="25"/>
      <c r="B22" s="29" t="s">
        <v>45</v>
      </c>
      <c r="C22" s="72" t="s">
        <v>45</v>
      </c>
      <c r="D22" s="72"/>
      <c r="E22" s="72"/>
      <c r="F22" s="72"/>
      <c r="G22" s="72"/>
      <c r="H22" s="72"/>
      <c r="I22" s="72" t="s">
        <v>76</v>
      </c>
      <c r="J22" s="72"/>
      <c r="K22" s="72"/>
      <c r="L22" s="72" t="s">
        <v>77</v>
      </c>
      <c r="M22" s="72"/>
      <c r="N22" s="72"/>
      <c r="O22" s="72"/>
      <c r="P22" s="30" t="s">
        <v>48</v>
      </c>
      <c r="Q22" s="30" t="s">
        <v>75</v>
      </c>
      <c r="R22" s="30">
        <v>33</v>
      </c>
      <c r="S22" s="30">
        <v>16.5</v>
      </c>
      <c r="T22" s="30">
        <v>11.52</v>
      </c>
      <c r="U22" s="32">
        <f t="shared" si="0"/>
        <v>69.818181818181813</v>
      </c>
    </row>
    <row r="23" spans="1:22" ht="75" customHeight="1" x14ac:dyDescent="0.2">
      <c r="A23" s="25"/>
      <c r="B23" s="29" t="s">
        <v>45</v>
      </c>
      <c r="C23" s="72" t="s">
        <v>45</v>
      </c>
      <c r="D23" s="72"/>
      <c r="E23" s="72"/>
      <c r="F23" s="72"/>
      <c r="G23" s="72"/>
      <c r="H23" s="72"/>
      <c r="I23" s="72" t="s">
        <v>78</v>
      </c>
      <c r="J23" s="72"/>
      <c r="K23" s="72"/>
      <c r="L23" s="72" t="s">
        <v>79</v>
      </c>
      <c r="M23" s="72"/>
      <c r="N23" s="72"/>
      <c r="O23" s="72"/>
      <c r="P23" s="30" t="s">
        <v>48</v>
      </c>
      <c r="Q23" s="30" t="s">
        <v>75</v>
      </c>
      <c r="R23" s="30">
        <v>95</v>
      </c>
      <c r="S23" s="30">
        <v>95</v>
      </c>
      <c r="T23" s="30">
        <v>82.14</v>
      </c>
      <c r="U23" s="32">
        <f t="shared" si="0"/>
        <v>86.463157894736838</v>
      </c>
    </row>
    <row r="24" spans="1:22" ht="75" customHeight="1" x14ac:dyDescent="0.2">
      <c r="A24" s="25"/>
      <c r="B24" s="29" t="s">
        <v>45</v>
      </c>
      <c r="C24" s="72" t="s">
        <v>45</v>
      </c>
      <c r="D24" s="72"/>
      <c r="E24" s="72"/>
      <c r="F24" s="72"/>
      <c r="G24" s="72"/>
      <c r="H24" s="72"/>
      <c r="I24" s="72" t="s">
        <v>80</v>
      </c>
      <c r="J24" s="72"/>
      <c r="K24" s="72"/>
      <c r="L24" s="72" t="s">
        <v>81</v>
      </c>
      <c r="M24" s="72"/>
      <c r="N24" s="72"/>
      <c r="O24" s="72"/>
      <c r="P24" s="30" t="s">
        <v>48</v>
      </c>
      <c r="Q24" s="30" t="s">
        <v>75</v>
      </c>
      <c r="R24" s="30">
        <v>20</v>
      </c>
      <c r="S24" s="30">
        <v>10</v>
      </c>
      <c r="T24" s="30">
        <v>9.76</v>
      </c>
      <c r="U24" s="32">
        <f t="shared" si="0"/>
        <v>97.6</v>
      </c>
    </row>
    <row r="25" spans="1:22" ht="75" customHeight="1" x14ac:dyDescent="0.2">
      <c r="A25" s="25"/>
      <c r="B25" s="29" t="s">
        <v>45</v>
      </c>
      <c r="C25" s="72" t="s">
        <v>45</v>
      </c>
      <c r="D25" s="72"/>
      <c r="E25" s="72"/>
      <c r="F25" s="72"/>
      <c r="G25" s="72"/>
      <c r="H25" s="72"/>
      <c r="I25" s="72" t="s">
        <v>82</v>
      </c>
      <c r="J25" s="72"/>
      <c r="K25" s="72"/>
      <c r="L25" s="72" t="s">
        <v>83</v>
      </c>
      <c r="M25" s="72"/>
      <c r="N25" s="72"/>
      <c r="O25" s="72"/>
      <c r="P25" s="30" t="s">
        <v>48</v>
      </c>
      <c r="Q25" s="30" t="s">
        <v>75</v>
      </c>
      <c r="R25" s="30">
        <v>65</v>
      </c>
      <c r="S25" s="30">
        <v>32.5</v>
      </c>
      <c r="T25" s="30">
        <v>37.32</v>
      </c>
      <c r="U25" s="32">
        <f t="shared" si="0"/>
        <v>114.83076923076922</v>
      </c>
    </row>
    <row r="26" spans="1:22" ht="75" customHeight="1" thickBot="1" x14ac:dyDescent="0.25">
      <c r="A26" s="25"/>
      <c r="B26" s="29" t="s">
        <v>45</v>
      </c>
      <c r="C26" s="72" t="s">
        <v>84</v>
      </c>
      <c r="D26" s="72"/>
      <c r="E26" s="72"/>
      <c r="F26" s="72"/>
      <c r="G26" s="72"/>
      <c r="H26" s="72"/>
      <c r="I26" s="72" t="s">
        <v>85</v>
      </c>
      <c r="J26" s="72"/>
      <c r="K26" s="72"/>
      <c r="L26" s="72" t="s">
        <v>86</v>
      </c>
      <c r="M26" s="72"/>
      <c r="N26" s="72"/>
      <c r="O26" s="72"/>
      <c r="P26" s="30" t="s">
        <v>48</v>
      </c>
      <c r="Q26" s="30" t="s">
        <v>75</v>
      </c>
      <c r="R26" s="30">
        <v>95</v>
      </c>
      <c r="S26" s="30">
        <v>95</v>
      </c>
      <c r="T26" s="30">
        <v>71.599999999999994</v>
      </c>
      <c r="U26" s="32">
        <f t="shared" si="0"/>
        <v>75.368421052631575</v>
      </c>
    </row>
    <row r="27" spans="1:22" ht="75" customHeight="1" thickTop="1" x14ac:dyDescent="0.2">
      <c r="A27" s="25"/>
      <c r="B27" s="26" t="s">
        <v>87</v>
      </c>
      <c r="C27" s="73" t="s">
        <v>88</v>
      </c>
      <c r="D27" s="73"/>
      <c r="E27" s="73"/>
      <c r="F27" s="73"/>
      <c r="G27" s="73"/>
      <c r="H27" s="73"/>
      <c r="I27" s="73" t="s">
        <v>89</v>
      </c>
      <c r="J27" s="73"/>
      <c r="K27" s="73"/>
      <c r="L27" s="73" t="s">
        <v>90</v>
      </c>
      <c r="M27" s="73"/>
      <c r="N27" s="73"/>
      <c r="O27" s="73"/>
      <c r="P27" s="27" t="s">
        <v>48</v>
      </c>
      <c r="Q27" s="27" t="s">
        <v>91</v>
      </c>
      <c r="R27" s="27">
        <v>99.7</v>
      </c>
      <c r="S27" s="27">
        <v>98.9</v>
      </c>
      <c r="T27" s="27">
        <v>98.3</v>
      </c>
      <c r="U27" s="28">
        <f t="shared" si="0"/>
        <v>99.393326592517681</v>
      </c>
    </row>
    <row r="28" spans="1:22" ht="75" customHeight="1" x14ac:dyDescent="0.2">
      <c r="A28" s="25"/>
      <c r="B28" s="29" t="s">
        <v>45</v>
      </c>
      <c r="C28" s="72" t="s">
        <v>92</v>
      </c>
      <c r="D28" s="72"/>
      <c r="E28" s="72"/>
      <c r="F28" s="72"/>
      <c r="G28" s="72"/>
      <c r="H28" s="72"/>
      <c r="I28" s="72" t="s">
        <v>93</v>
      </c>
      <c r="J28" s="72"/>
      <c r="K28" s="72"/>
      <c r="L28" s="72" t="s">
        <v>94</v>
      </c>
      <c r="M28" s="72"/>
      <c r="N28" s="72"/>
      <c r="O28" s="72"/>
      <c r="P28" s="30" t="s">
        <v>48</v>
      </c>
      <c r="Q28" s="30" t="s">
        <v>91</v>
      </c>
      <c r="R28" s="30">
        <v>64</v>
      </c>
      <c r="S28" s="30">
        <v>53</v>
      </c>
      <c r="T28" s="30">
        <v>52.67</v>
      </c>
      <c r="U28" s="32">
        <f t="shared" si="0"/>
        <v>99.377358490566039</v>
      </c>
    </row>
    <row r="29" spans="1:22" ht="75" customHeight="1" thickBot="1" x14ac:dyDescent="0.25">
      <c r="A29" s="25"/>
      <c r="B29" s="29" t="s">
        <v>45</v>
      </c>
      <c r="C29" s="72" t="s">
        <v>95</v>
      </c>
      <c r="D29" s="72"/>
      <c r="E29" s="72"/>
      <c r="F29" s="72"/>
      <c r="G29" s="72"/>
      <c r="H29" s="72"/>
      <c r="I29" s="72" t="s">
        <v>96</v>
      </c>
      <c r="J29" s="72"/>
      <c r="K29" s="72"/>
      <c r="L29" s="72" t="s">
        <v>97</v>
      </c>
      <c r="M29" s="72"/>
      <c r="N29" s="72"/>
      <c r="O29" s="72"/>
      <c r="P29" s="30" t="s">
        <v>48</v>
      </c>
      <c r="Q29" s="30" t="s">
        <v>91</v>
      </c>
      <c r="R29" s="30">
        <v>95</v>
      </c>
      <c r="S29" s="30">
        <v>95</v>
      </c>
      <c r="T29" s="30">
        <v>91.3</v>
      </c>
      <c r="U29" s="32">
        <f t="shared" si="0"/>
        <v>96.10526315789474</v>
      </c>
    </row>
    <row r="30" spans="1:22" ht="22.5" customHeight="1" thickTop="1" thickBot="1" x14ac:dyDescent="0.25">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x14ac:dyDescent="0.2">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x14ac:dyDescent="0.25">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x14ac:dyDescent="0.25">
      <c r="B33" s="65" t="s">
        <v>105</v>
      </c>
      <c r="C33" s="66"/>
      <c r="D33" s="66"/>
      <c r="E33" s="46"/>
      <c r="F33" s="46"/>
      <c r="G33" s="46"/>
      <c r="H33" s="47"/>
      <c r="I33" s="47"/>
      <c r="J33" s="47"/>
      <c r="K33" s="47"/>
      <c r="L33" s="47"/>
      <c r="M33" s="47"/>
      <c r="N33" s="47"/>
      <c r="O33" s="47"/>
      <c r="P33" s="48"/>
      <c r="Q33" s="48"/>
      <c r="R33" s="49">
        <f>6260.142448</f>
        <v>6260.1424479999996</v>
      </c>
      <c r="S33" s="49">
        <f>3550.644393</f>
        <v>3550.644393</v>
      </c>
      <c r="T33" s="49">
        <f>3360.36596098999</f>
        <v>3360.3659609899901</v>
      </c>
      <c r="U33" s="50">
        <f>+IF(ISERR(T33/S33*100),"N/A",T33/S33*100)</f>
        <v>94.641016926810835</v>
      </c>
    </row>
    <row r="34" spans="2:21" ht="13.5" customHeight="1" thickBot="1" x14ac:dyDescent="0.25">
      <c r="B34" s="67" t="s">
        <v>106</v>
      </c>
      <c r="C34" s="68"/>
      <c r="D34" s="68"/>
      <c r="E34" s="51"/>
      <c r="F34" s="51"/>
      <c r="G34" s="51"/>
      <c r="H34" s="52"/>
      <c r="I34" s="52"/>
      <c r="J34" s="52"/>
      <c r="K34" s="52"/>
      <c r="L34" s="52"/>
      <c r="M34" s="52"/>
      <c r="N34" s="52"/>
      <c r="O34" s="52"/>
      <c r="P34" s="53"/>
      <c r="Q34" s="53"/>
      <c r="R34" s="49">
        <f>6103.399871</f>
        <v>6103.3998709999996</v>
      </c>
      <c r="S34" s="49">
        <f>4182.127908</f>
        <v>4182.1279080000004</v>
      </c>
      <c r="T34" s="49">
        <f>3360.36596098999</f>
        <v>3360.3659609899901</v>
      </c>
      <c r="U34" s="50">
        <f>+IF(ISERR(T34/S34*100),"N/A",T34/S34*100)</f>
        <v>80.350626162388281</v>
      </c>
    </row>
    <row r="35" spans="2:21" ht="14.85" customHeight="1" thickTop="1" thickBot="1" x14ac:dyDescent="0.25">
      <c r="B35" s="8" t="s">
        <v>107</v>
      </c>
      <c r="C35" s="9"/>
      <c r="D35" s="9"/>
      <c r="E35" s="9"/>
      <c r="F35" s="9"/>
      <c r="G35" s="9"/>
      <c r="H35" s="10"/>
      <c r="I35" s="10"/>
      <c r="J35" s="10"/>
      <c r="K35" s="10"/>
      <c r="L35" s="10"/>
      <c r="M35" s="10"/>
      <c r="N35" s="10"/>
      <c r="O35" s="10"/>
      <c r="P35" s="10"/>
      <c r="Q35" s="10"/>
      <c r="R35" s="10"/>
      <c r="S35" s="10"/>
      <c r="T35" s="10"/>
      <c r="U35" s="11"/>
    </row>
    <row r="36" spans="2:21" ht="44.25" customHeight="1" thickTop="1" x14ac:dyDescent="0.2">
      <c r="B36" s="69" t="s">
        <v>108</v>
      </c>
      <c r="C36" s="70"/>
      <c r="D36" s="70"/>
      <c r="E36" s="70"/>
      <c r="F36" s="70"/>
      <c r="G36" s="70"/>
      <c r="H36" s="70"/>
      <c r="I36" s="70"/>
      <c r="J36" s="70"/>
      <c r="K36" s="70"/>
      <c r="L36" s="70"/>
      <c r="M36" s="70"/>
      <c r="N36" s="70"/>
      <c r="O36" s="70"/>
      <c r="P36" s="70"/>
      <c r="Q36" s="70"/>
      <c r="R36" s="70"/>
      <c r="S36" s="70"/>
      <c r="T36" s="70"/>
      <c r="U36" s="71"/>
    </row>
    <row r="37" spans="2:21" ht="34.5" customHeight="1" x14ac:dyDescent="0.2">
      <c r="B37" s="59" t="s">
        <v>109</v>
      </c>
      <c r="C37" s="60"/>
      <c r="D37" s="60"/>
      <c r="E37" s="60"/>
      <c r="F37" s="60"/>
      <c r="G37" s="60"/>
      <c r="H37" s="60"/>
      <c r="I37" s="60"/>
      <c r="J37" s="60"/>
      <c r="K37" s="60"/>
      <c r="L37" s="60"/>
      <c r="M37" s="60"/>
      <c r="N37" s="60"/>
      <c r="O37" s="60"/>
      <c r="P37" s="60"/>
      <c r="Q37" s="60"/>
      <c r="R37" s="60"/>
      <c r="S37" s="60"/>
      <c r="T37" s="60"/>
      <c r="U37" s="61"/>
    </row>
    <row r="38" spans="2:21" ht="34.5" customHeight="1" x14ac:dyDescent="0.2">
      <c r="B38" s="59" t="s">
        <v>110</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111</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112</v>
      </c>
      <c r="C40" s="60"/>
      <c r="D40" s="60"/>
      <c r="E40" s="60"/>
      <c r="F40" s="60"/>
      <c r="G40" s="60"/>
      <c r="H40" s="60"/>
      <c r="I40" s="60"/>
      <c r="J40" s="60"/>
      <c r="K40" s="60"/>
      <c r="L40" s="60"/>
      <c r="M40" s="60"/>
      <c r="N40" s="60"/>
      <c r="O40" s="60"/>
      <c r="P40" s="60"/>
      <c r="Q40" s="60"/>
      <c r="R40" s="60"/>
      <c r="S40" s="60"/>
      <c r="T40" s="60"/>
      <c r="U40" s="61"/>
    </row>
    <row r="41" spans="2:21" ht="35.25" customHeight="1" x14ac:dyDescent="0.2">
      <c r="B41" s="59" t="s">
        <v>113</v>
      </c>
      <c r="C41" s="60"/>
      <c r="D41" s="60"/>
      <c r="E41" s="60"/>
      <c r="F41" s="60"/>
      <c r="G41" s="60"/>
      <c r="H41" s="60"/>
      <c r="I41" s="60"/>
      <c r="J41" s="60"/>
      <c r="K41" s="60"/>
      <c r="L41" s="60"/>
      <c r="M41" s="60"/>
      <c r="N41" s="60"/>
      <c r="O41" s="60"/>
      <c r="P41" s="60"/>
      <c r="Q41" s="60"/>
      <c r="R41" s="60"/>
      <c r="S41" s="60"/>
      <c r="T41" s="60"/>
      <c r="U41" s="61"/>
    </row>
    <row r="42" spans="2:21" ht="34.5" customHeight="1" x14ac:dyDescent="0.2">
      <c r="B42" s="59" t="s">
        <v>114</v>
      </c>
      <c r="C42" s="60"/>
      <c r="D42" s="60"/>
      <c r="E42" s="60"/>
      <c r="F42" s="60"/>
      <c r="G42" s="60"/>
      <c r="H42" s="60"/>
      <c r="I42" s="60"/>
      <c r="J42" s="60"/>
      <c r="K42" s="60"/>
      <c r="L42" s="60"/>
      <c r="M42" s="60"/>
      <c r="N42" s="60"/>
      <c r="O42" s="60"/>
      <c r="P42" s="60"/>
      <c r="Q42" s="60"/>
      <c r="R42" s="60"/>
      <c r="S42" s="60"/>
      <c r="T42" s="60"/>
      <c r="U42" s="61"/>
    </row>
    <row r="43" spans="2:21" ht="34.5" customHeight="1" x14ac:dyDescent="0.2">
      <c r="B43" s="59" t="s">
        <v>115</v>
      </c>
      <c r="C43" s="60"/>
      <c r="D43" s="60"/>
      <c r="E43" s="60"/>
      <c r="F43" s="60"/>
      <c r="G43" s="60"/>
      <c r="H43" s="60"/>
      <c r="I43" s="60"/>
      <c r="J43" s="60"/>
      <c r="K43" s="60"/>
      <c r="L43" s="60"/>
      <c r="M43" s="60"/>
      <c r="N43" s="60"/>
      <c r="O43" s="60"/>
      <c r="P43" s="60"/>
      <c r="Q43" s="60"/>
      <c r="R43" s="60"/>
      <c r="S43" s="60"/>
      <c r="T43" s="60"/>
      <c r="U43" s="61"/>
    </row>
    <row r="44" spans="2:21" ht="34.5" customHeight="1" x14ac:dyDescent="0.2">
      <c r="B44" s="59" t="s">
        <v>116</v>
      </c>
      <c r="C44" s="60"/>
      <c r="D44" s="60"/>
      <c r="E44" s="60"/>
      <c r="F44" s="60"/>
      <c r="G44" s="60"/>
      <c r="H44" s="60"/>
      <c r="I44" s="60"/>
      <c r="J44" s="60"/>
      <c r="K44" s="60"/>
      <c r="L44" s="60"/>
      <c r="M44" s="60"/>
      <c r="N44" s="60"/>
      <c r="O44" s="60"/>
      <c r="P44" s="60"/>
      <c r="Q44" s="60"/>
      <c r="R44" s="60"/>
      <c r="S44" s="60"/>
      <c r="T44" s="60"/>
      <c r="U44" s="61"/>
    </row>
    <row r="45" spans="2:21" ht="34.5" customHeight="1" x14ac:dyDescent="0.2">
      <c r="B45" s="59" t="s">
        <v>117</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118</v>
      </c>
      <c r="C46" s="60"/>
      <c r="D46" s="60"/>
      <c r="E46" s="60"/>
      <c r="F46" s="60"/>
      <c r="G46" s="60"/>
      <c r="H46" s="60"/>
      <c r="I46" s="60"/>
      <c r="J46" s="60"/>
      <c r="K46" s="60"/>
      <c r="L46" s="60"/>
      <c r="M46" s="60"/>
      <c r="N46" s="60"/>
      <c r="O46" s="60"/>
      <c r="P46" s="60"/>
      <c r="Q46" s="60"/>
      <c r="R46" s="60"/>
      <c r="S46" s="60"/>
      <c r="T46" s="60"/>
      <c r="U46" s="61"/>
    </row>
    <row r="47" spans="2:21" ht="75.599999999999994" customHeight="1" x14ac:dyDescent="0.2">
      <c r="B47" s="59" t="s">
        <v>119</v>
      </c>
      <c r="C47" s="60"/>
      <c r="D47" s="60"/>
      <c r="E47" s="60"/>
      <c r="F47" s="60"/>
      <c r="G47" s="60"/>
      <c r="H47" s="60"/>
      <c r="I47" s="60"/>
      <c r="J47" s="60"/>
      <c r="K47" s="60"/>
      <c r="L47" s="60"/>
      <c r="M47" s="60"/>
      <c r="N47" s="60"/>
      <c r="O47" s="60"/>
      <c r="P47" s="60"/>
      <c r="Q47" s="60"/>
      <c r="R47" s="60"/>
      <c r="S47" s="60"/>
      <c r="T47" s="60"/>
      <c r="U47" s="61"/>
    </row>
    <row r="48" spans="2:21" ht="68.849999999999994" customHeight="1" x14ac:dyDescent="0.2">
      <c r="B48" s="59" t="s">
        <v>120</v>
      </c>
      <c r="C48" s="60"/>
      <c r="D48" s="60"/>
      <c r="E48" s="60"/>
      <c r="F48" s="60"/>
      <c r="G48" s="60"/>
      <c r="H48" s="60"/>
      <c r="I48" s="60"/>
      <c r="J48" s="60"/>
      <c r="K48" s="60"/>
      <c r="L48" s="60"/>
      <c r="M48" s="60"/>
      <c r="N48" s="60"/>
      <c r="O48" s="60"/>
      <c r="P48" s="60"/>
      <c r="Q48" s="60"/>
      <c r="R48" s="60"/>
      <c r="S48" s="60"/>
      <c r="T48" s="60"/>
      <c r="U48" s="61"/>
    </row>
    <row r="49" spans="2:21" ht="98.25" customHeight="1" x14ac:dyDescent="0.2">
      <c r="B49" s="59" t="s">
        <v>121</v>
      </c>
      <c r="C49" s="60"/>
      <c r="D49" s="60"/>
      <c r="E49" s="60"/>
      <c r="F49" s="60"/>
      <c r="G49" s="60"/>
      <c r="H49" s="60"/>
      <c r="I49" s="60"/>
      <c r="J49" s="60"/>
      <c r="K49" s="60"/>
      <c r="L49" s="60"/>
      <c r="M49" s="60"/>
      <c r="N49" s="60"/>
      <c r="O49" s="60"/>
      <c r="P49" s="60"/>
      <c r="Q49" s="60"/>
      <c r="R49" s="60"/>
      <c r="S49" s="60"/>
      <c r="T49" s="60"/>
      <c r="U49" s="61"/>
    </row>
    <row r="50" spans="2:21" ht="62.1" customHeight="1" x14ac:dyDescent="0.2">
      <c r="B50" s="59" t="s">
        <v>122</v>
      </c>
      <c r="C50" s="60"/>
      <c r="D50" s="60"/>
      <c r="E50" s="60"/>
      <c r="F50" s="60"/>
      <c r="G50" s="60"/>
      <c r="H50" s="60"/>
      <c r="I50" s="60"/>
      <c r="J50" s="60"/>
      <c r="K50" s="60"/>
      <c r="L50" s="60"/>
      <c r="M50" s="60"/>
      <c r="N50" s="60"/>
      <c r="O50" s="60"/>
      <c r="P50" s="60"/>
      <c r="Q50" s="60"/>
      <c r="R50" s="60"/>
      <c r="S50" s="60"/>
      <c r="T50" s="60"/>
      <c r="U50" s="61"/>
    </row>
    <row r="51" spans="2:21" ht="65.45" customHeight="1" x14ac:dyDescent="0.2">
      <c r="B51" s="59" t="s">
        <v>123</v>
      </c>
      <c r="C51" s="60"/>
      <c r="D51" s="60"/>
      <c r="E51" s="60"/>
      <c r="F51" s="60"/>
      <c r="G51" s="60"/>
      <c r="H51" s="60"/>
      <c r="I51" s="60"/>
      <c r="J51" s="60"/>
      <c r="K51" s="60"/>
      <c r="L51" s="60"/>
      <c r="M51" s="60"/>
      <c r="N51" s="60"/>
      <c r="O51" s="60"/>
      <c r="P51" s="60"/>
      <c r="Q51" s="60"/>
      <c r="R51" s="60"/>
      <c r="S51" s="60"/>
      <c r="T51" s="60"/>
      <c r="U51" s="61"/>
    </row>
    <row r="52" spans="2:21" ht="51.6" customHeight="1" x14ac:dyDescent="0.2">
      <c r="B52" s="59" t="s">
        <v>124</v>
      </c>
      <c r="C52" s="60"/>
      <c r="D52" s="60"/>
      <c r="E52" s="60"/>
      <c r="F52" s="60"/>
      <c r="G52" s="60"/>
      <c r="H52" s="60"/>
      <c r="I52" s="60"/>
      <c r="J52" s="60"/>
      <c r="K52" s="60"/>
      <c r="L52" s="60"/>
      <c r="M52" s="60"/>
      <c r="N52" s="60"/>
      <c r="O52" s="60"/>
      <c r="P52" s="60"/>
      <c r="Q52" s="60"/>
      <c r="R52" s="60"/>
      <c r="S52" s="60"/>
      <c r="T52" s="60"/>
      <c r="U52" s="61"/>
    </row>
    <row r="53" spans="2:21" ht="63.6" customHeight="1" x14ac:dyDescent="0.2">
      <c r="B53" s="59" t="s">
        <v>125</v>
      </c>
      <c r="C53" s="60"/>
      <c r="D53" s="60"/>
      <c r="E53" s="60"/>
      <c r="F53" s="60"/>
      <c r="G53" s="60"/>
      <c r="H53" s="60"/>
      <c r="I53" s="60"/>
      <c r="J53" s="60"/>
      <c r="K53" s="60"/>
      <c r="L53" s="60"/>
      <c r="M53" s="60"/>
      <c r="N53" s="60"/>
      <c r="O53" s="60"/>
      <c r="P53" s="60"/>
      <c r="Q53" s="60"/>
      <c r="R53" s="60"/>
      <c r="S53" s="60"/>
      <c r="T53" s="60"/>
      <c r="U53" s="61"/>
    </row>
    <row r="54" spans="2:21" ht="71.45" customHeight="1" x14ac:dyDescent="0.2">
      <c r="B54" s="59" t="s">
        <v>126</v>
      </c>
      <c r="C54" s="60"/>
      <c r="D54" s="60"/>
      <c r="E54" s="60"/>
      <c r="F54" s="60"/>
      <c r="G54" s="60"/>
      <c r="H54" s="60"/>
      <c r="I54" s="60"/>
      <c r="J54" s="60"/>
      <c r="K54" s="60"/>
      <c r="L54" s="60"/>
      <c r="M54" s="60"/>
      <c r="N54" s="60"/>
      <c r="O54" s="60"/>
      <c r="P54" s="60"/>
      <c r="Q54" s="60"/>
      <c r="R54" s="60"/>
      <c r="S54" s="60"/>
      <c r="T54" s="60"/>
      <c r="U54" s="61"/>
    </row>
    <row r="55" spans="2:21" ht="65.099999999999994" customHeight="1" thickBot="1" x14ac:dyDescent="0.25">
      <c r="B55" s="62" t="s">
        <v>127</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128</v>
      </c>
      <c r="D4" s="99" t="s">
        <v>129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131</v>
      </c>
      <c r="D11" s="73"/>
      <c r="E11" s="73"/>
      <c r="F11" s="73"/>
      <c r="G11" s="73"/>
      <c r="H11" s="73"/>
      <c r="I11" s="73" t="s">
        <v>56</v>
      </c>
      <c r="J11" s="73"/>
      <c r="K11" s="73"/>
      <c r="L11" s="73" t="s">
        <v>57</v>
      </c>
      <c r="M11" s="73"/>
      <c r="N11" s="73"/>
      <c r="O11" s="73"/>
      <c r="P11" s="27" t="s">
        <v>132</v>
      </c>
      <c r="Q11" s="27" t="s">
        <v>43</v>
      </c>
      <c r="R11" s="54">
        <v>78.19</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133</v>
      </c>
      <c r="J12" s="72"/>
      <c r="K12" s="72"/>
      <c r="L12" s="72" t="s">
        <v>134</v>
      </c>
      <c r="M12" s="72"/>
      <c r="N12" s="72"/>
      <c r="O12" s="72"/>
      <c r="P12" s="30" t="s">
        <v>135</v>
      </c>
      <c r="Q12" s="30" t="s">
        <v>43</v>
      </c>
      <c r="R12" s="31">
        <v>0.9</v>
      </c>
      <c r="S12" s="31" t="s">
        <v>44</v>
      </c>
      <c r="T12" s="31" t="s">
        <v>44</v>
      </c>
      <c r="U12" s="32" t="str">
        <f>IF(ISERR((S12-T12)*100/S12+100),"N/A",(S12-T12)*100/S12+100)</f>
        <v>N/A</v>
      </c>
    </row>
    <row r="13" spans="1:34" ht="75" customHeight="1" thickTop="1" thickBot="1" x14ac:dyDescent="0.25">
      <c r="A13" s="25"/>
      <c r="B13" s="26" t="s">
        <v>62</v>
      </c>
      <c r="C13" s="73" t="s">
        <v>136</v>
      </c>
      <c r="D13" s="73"/>
      <c r="E13" s="73"/>
      <c r="F13" s="73"/>
      <c r="G13" s="73"/>
      <c r="H13" s="73"/>
      <c r="I13" s="73" t="s">
        <v>137</v>
      </c>
      <c r="J13" s="73"/>
      <c r="K13" s="73"/>
      <c r="L13" s="73" t="s">
        <v>138</v>
      </c>
      <c r="M13" s="73"/>
      <c r="N13" s="73"/>
      <c r="O13" s="73"/>
      <c r="P13" s="27" t="s">
        <v>48</v>
      </c>
      <c r="Q13" s="27" t="s">
        <v>139</v>
      </c>
      <c r="R13" s="27">
        <v>7.55</v>
      </c>
      <c r="S13" s="27">
        <v>5.76</v>
      </c>
      <c r="T13" s="27">
        <v>6.2</v>
      </c>
      <c r="U13" s="28">
        <f t="shared" ref="U13:U24" si="0">IF(ISERR(T13/S13*100),"N/A",T13/S13*100)</f>
        <v>107.6388888888889</v>
      </c>
    </row>
    <row r="14" spans="1:34" ht="75" customHeight="1" thickTop="1" x14ac:dyDescent="0.2">
      <c r="A14" s="25"/>
      <c r="B14" s="26" t="s">
        <v>71</v>
      </c>
      <c r="C14" s="73" t="s">
        <v>140</v>
      </c>
      <c r="D14" s="73"/>
      <c r="E14" s="73"/>
      <c r="F14" s="73"/>
      <c r="G14" s="73"/>
      <c r="H14" s="73"/>
      <c r="I14" s="73" t="s">
        <v>141</v>
      </c>
      <c r="J14" s="73"/>
      <c r="K14" s="73"/>
      <c r="L14" s="73" t="s">
        <v>142</v>
      </c>
      <c r="M14" s="73"/>
      <c r="N14" s="73"/>
      <c r="O14" s="73"/>
      <c r="P14" s="27" t="s">
        <v>48</v>
      </c>
      <c r="Q14" s="27" t="s">
        <v>143</v>
      </c>
      <c r="R14" s="27">
        <v>97</v>
      </c>
      <c r="S14" s="27">
        <v>97</v>
      </c>
      <c r="T14" s="27">
        <v>89.97</v>
      </c>
      <c r="U14" s="28">
        <f t="shared" si="0"/>
        <v>92.75257731958763</v>
      </c>
    </row>
    <row r="15" spans="1:34" ht="75" customHeight="1" x14ac:dyDescent="0.2">
      <c r="A15" s="25"/>
      <c r="B15" s="29" t="s">
        <v>45</v>
      </c>
      <c r="C15" s="72" t="s">
        <v>144</v>
      </c>
      <c r="D15" s="72"/>
      <c r="E15" s="72"/>
      <c r="F15" s="72"/>
      <c r="G15" s="72"/>
      <c r="H15" s="72"/>
      <c r="I15" s="72" t="s">
        <v>145</v>
      </c>
      <c r="J15" s="72"/>
      <c r="K15" s="72"/>
      <c r="L15" s="72" t="s">
        <v>146</v>
      </c>
      <c r="M15" s="72"/>
      <c r="N15" s="72"/>
      <c r="O15" s="72"/>
      <c r="P15" s="30" t="s">
        <v>48</v>
      </c>
      <c r="Q15" s="30" t="s">
        <v>143</v>
      </c>
      <c r="R15" s="30">
        <v>97</v>
      </c>
      <c r="S15" s="30">
        <v>97</v>
      </c>
      <c r="T15" s="30">
        <v>87.18</v>
      </c>
      <c r="U15" s="32">
        <f t="shared" si="0"/>
        <v>89.876288659793829</v>
      </c>
    </row>
    <row r="16" spans="1:34" ht="75" customHeight="1" x14ac:dyDescent="0.2">
      <c r="A16" s="25"/>
      <c r="B16" s="29" t="s">
        <v>45</v>
      </c>
      <c r="C16" s="72" t="s">
        <v>147</v>
      </c>
      <c r="D16" s="72"/>
      <c r="E16" s="72"/>
      <c r="F16" s="72"/>
      <c r="G16" s="72"/>
      <c r="H16" s="72"/>
      <c r="I16" s="72" t="s">
        <v>148</v>
      </c>
      <c r="J16" s="72"/>
      <c r="K16" s="72"/>
      <c r="L16" s="72" t="s">
        <v>149</v>
      </c>
      <c r="M16" s="72"/>
      <c r="N16" s="72"/>
      <c r="O16" s="72"/>
      <c r="P16" s="30" t="s">
        <v>48</v>
      </c>
      <c r="Q16" s="30" t="s">
        <v>139</v>
      </c>
      <c r="R16" s="30">
        <v>20</v>
      </c>
      <c r="S16" s="30">
        <v>26</v>
      </c>
      <c r="T16" s="30">
        <v>26.92</v>
      </c>
      <c r="U16" s="32">
        <f t="shared" si="0"/>
        <v>103.53846153846153</v>
      </c>
    </row>
    <row r="17" spans="1:22" ht="75" customHeight="1" x14ac:dyDescent="0.2">
      <c r="A17" s="25"/>
      <c r="B17" s="29" t="s">
        <v>45</v>
      </c>
      <c r="C17" s="72" t="s">
        <v>150</v>
      </c>
      <c r="D17" s="72"/>
      <c r="E17" s="72"/>
      <c r="F17" s="72"/>
      <c r="G17" s="72"/>
      <c r="H17" s="72"/>
      <c r="I17" s="72" t="s">
        <v>151</v>
      </c>
      <c r="J17" s="72"/>
      <c r="K17" s="72"/>
      <c r="L17" s="72" t="s">
        <v>152</v>
      </c>
      <c r="M17" s="72"/>
      <c r="N17" s="72"/>
      <c r="O17" s="72"/>
      <c r="P17" s="30" t="s">
        <v>48</v>
      </c>
      <c r="Q17" s="30" t="s">
        <v>153</v>
      </c>
      <c r="R17" s="30">
        <v>90</v>
      </c>
      <c r="S17" s="30">
        <v>90</v>
      </c>
      <c r="T17" s="30">
        <v>91</v>
      </c>
      <c r="U17" s="32">
        <f t="shared" si="0"/>
        <v>101.11111111111111</v>
      </c>
    </row>
    <row r="18" spans="1:22" ht="75" customHeight="1" thickBot="1" x14ac:dyDescent="0.25">
      <c r="A18" s="25"/>
      <c r="B18" s="29" t="s">
        <v>45</v>
      </c>
      <c r="C18" s="72" t="s">
        <v>154</v>
      </c>
      <c r="D18" s="72"/>
      <c r="E18" s="72"/>
      <c r="F18" s="72"/>
      <c r="G18" s="72"/>
      <c r="H18" s="72"/>
      <c r="I18" s="72" t="s">
        <v>155</v>
      </c>
      <c r="J18" s="72"/>
      <c r="K18" s="72"/>
      <c r="L18" s="72" t="s">
        <v>156</v>
      </c>
      <c r="M18" s="72"/>
      <c r="N18" s="72"/>
      <c r="O18" s="72"/>
      <c r="P18" s="30" t="s">
        <v>48</v>
      </c>
      <c r="Q18" s="30" t="s">
        <v>139</v>
      </c>
      <c r="R18" s="30">
        <v>95</v>
      </c>
      <c r="S18" s="30">
        <v>95</v>
      </c>
      <c r="T18" s="30">
        <v>97.8</v>
      </c>
      <c r="U18" s="32">
        <f t="shared" si="0"/>
        <v>102.94736842105263</v>
      </c>
    </row>
    <row r="19" spans="1:22" ht="75" customHeight="1" thickTop="1" x14ac:dyDescent="0.2">
      <c r="A19" s="25"/>
      <c r="B19" s="26" t="s">
        <v>87</v>
      </c>
      <c r="C19" s="73" t="s">
        <v>157</v>
      </c>
      <c r="D19" s="73"/>
      <c r="E19" s="73"/>
      <c r="F19" s="73"/>
      <c r="G19" s="73"/>
      <c r="H19" s="73"/>
      <c r="I19" s="73" t="s">
        <v>158</v>
      </c>
      <c r="J19" s="73"/>
      <c r="K19" s="73"/>
      <c r="L19" s="73" t="s">
        <v>159</v>
      </c>
      <c r="M19" s="73"/>
      <c r="N19" s="73"/>
      <c r="O19" s="73"/>
      <c r="P19" s="27" t="s">
        <v>48</v>
      </c>
      <c r="Q19" s="27" t="s">
        <v>91</v>
      </c>
      <c r="R19" s="27">
        <v>98</v>
      </c>
      <c r="S19" s="27">
        <v>98</v>
      </c>
      <c r="T19" s="27">
        <v>98.91</v>
      </c>
      <c r="U19" s="28">
        <f t="shared" si="0"/>
        <v>100.92857142857143</v>
      </c>
    </row>
    <row r="20" spans="1:22" ht="75" customHeight="1" x14ac:dyDescent="0.2">
      <c r="A20" s="25"/>
      <c r="B20" s="29" t="s">
        <v>45</v>
      </c>
      <c r="C20" s="72" t="s">
        <v>160</v>
      </c>
      <c r="D20" s="72"/>
      <c r="E20" s="72"/>
      <c r="F20" s="72"/>
      <c r="G20" s="72"/>
      <c r="H20" s="72"/>
      <c r="I20" s="72" t="s">
        <v>161</v>
      </c>
      <c r="J20" s="72"/>
      <c r="K20" s="72"/>
      <c r="L20" s="72" t="s">
        <v>162</v>
      </c>
      <c r="M20" s="72"/>
      <c r="N20" s="72"/>
      <c r="O20" s="72"/>
      <c r="P20" s="30" t="s">
        <v>48</v>
      </c>
      <c r="Q20" s="30" t="s">
        <v>91</v>
      </c>
      <c r="R20" s="30">
        <v>98</v>
      </c>
      <c r="S20" s="30">
        <v>98</v>
      </c>
      <c r="T20" s="30">
        <v>98.96</v>
      </c>
      <c r="U20" s="32">
        <f t="shared" si="0"/>
        <v>100.97959183673468</v>
      </c>
    </row>
    <row r="21" spans="1:22" ht="75" customHeight="1" x14ac:dyDescent="0.2">
      <c r="A21" s="25"/>
      <c r="B21" s="29" t="s">
        <v>45</v>
      </c>
      <c r="C21" s="72" t="s">
        <v>163</v>
      </c>
      <c r="D21" s="72"/>
      <c r="E21" s="72"/>
      <c r="F21" s="72"/>
      <c r="G21" s="72"/>
      <c r="H21" s="72"/>
      <c r="I21" s="72" t="s">
        <v>164</v>
      </c>
      <c r="J21" s="72"/>
      <c r="K21" s="72"/>
      <c r="L21" s="72" t="s">
        <v>165</v>
      </c>
      <c r="M21" s="72"/>
      <c r="N21" s="72"/>
      <c r="O21" s="72"/>
      <c r="P21" s="30" t="s">
        <v>48</v>
      </c>
      <c r="Q21" s="30" t="s">
        <v>91</v>
      </c>
      <c r="R21" s="30">
        <v>90</v>
      </c>
      <c r="S21" s="30">
        <v>68</v>
      </c>
      <c r="T21" s="30">
        <v>70.150000000000006</v>
      </c>
      <c r="U21" s="32">
        <f t="shared" si="0"/>
        <v>103.16176470588236</v>
      </c>
    </row>
    <row r="22" spans="1:22" ht="75" customHeight="1" x14ac:dyDescent="0.2">
      <c r="A22" s="25"/>
      <c r="B22" s="29" t="s">
        <v>45</v>
      </c>
      <c r="C22" s="72" t="s">
        <v>166</v>
      </c>
      <c r="D22" s="72"/>
      <c r="E22" s="72"/>
      <c r="F22" s="72"/>
      <c r="G22" s="72"/>
      <c r="H22" s="72"/>
      <c r="I22" s="72" t="s">
        <v>167</v>
      </c>
      <c r="J22" s="72"/>
      <c r="K22" s="72"/>
      <c r="L22" s="72" t="s">
        <v>168</v>
      </c>
      <c r="M22" s="72"/>
      <c r="N22" s="72"/>
      <c r="O22" s="72"/>
      <c r="P22" s="30" t="s">
        <v>48</v>
      </c>
      <c r="Q22" s="30" t="s">
        <v>91</v>
      </c>
      <c r="R22" s="30">
        <v>90</v>
      </c>
      <c r="S22" s="30">
        <v>78</v>
      </c>
      <c r="T22" s="30">
        <v>83.65</v>
      </c>
      <c r="U22" s="32">
        <f t="shared" si="0"/>
        <v>107.24358974358974</v>
      </c>
    </row>
    <row r="23" spans="1:22" ht="75" customHeight="1" x14ac:dyDescent="0.2">
      <c r="A23" s="25"/>
      <c r="B23" s="29" t="s">
        <v>45</v>
      </c>
      <c r="C23" s="72" t="s">
        <v>169</v>
      </c>
      <c r="D23" s="72"/>
      <c r="E23" s="72"/>
      <c r="F23" s="72"/>
      <c r="G23" s="72"/>
      <c r="H23" s="72"/>
      <c r="I23" s="72" t="s">
        <v>170</v>
      </c>
      <c r="J23" s="72"/>
      <c r="K23" s="72"/>
      <c r="L23" s="72" t="s">
        <v>171</v>
      </c>
      <c r="M23" s="72"/>
      <c r="N23" s="72"/>
      <c r="O23" s="72"/>
      <c r="P23" s="30" t="s">
        <v>48</v>
      </c>
      <c r="Q23" s="30" t="s">
        <v>91</v>
      </c>
      <c r="R23" s="30">
        <v>90</v>
      </c>
      <c r="S23" s="30">
        <v>73</v>
      </c>
      <c r="T23" s="30">
        <v>69.44</v>
      </c>
      <c r="U23" s="32">
        <f t="shared" si="0"/>
        <v>95.123287671232873</v>
      </c>
    </row>
    <row r="24" spans="1:22" ht="75" customHeight="1" thickBot="1" x14ac:dyDescent="0.25">
      <c r="A24" s="25"/>
      <c r="B24" s="29" t="s">
        <v>45</v>
      </c>
      <c r="C24" s="72" t="s">
        <v>172</v>
      </c>
      <c r="D24" s="72"/>
      <c r="E24" s="72"/>
      <c r="F24" s="72"/>
      <c r="G24" s="72"/>
      <c r="H24" s="72"/>
      <c r="I24" s="72" t="s">
        <v>173</v>
      </c>
      <c r="J24" s="72"/>
      <c r="K24" s="72"/>
      <c r="L24" s="72" t="s">
        <v>174</v>
      </c>
      <c r="M24" s="72"/>
      <c r="N24" s="72"/>
      <c r="O24" s="72"/>
      <c r="P24" s="30" t="s">
        <v>48</v>
      </c>
      <c r="Q24" s="30" t="s">
        <v>91</v>
      </c>
      <c r="R24" s="30">
        <v>83</v>
      </c>
      <c r="S24" s="30">
        <v>83</v>
      </c>
      <c r="T24" s="30">
        <v>69.48</v>
      </c>
      <c r="U24" s="32">
        <f t="shared" si="0"/>
        <v>83.710843373493987</v>
      </c>
    </row>
    <row r="25" spans="1:22" ht="22.5" customHeight="1" thickTop="1" thickBot="1" x14ac:dyDescent="0.25">
      <c r="B25" s="8" t="s">
        <v>98</v>
      </c>
      <c r="C25" s="9"/>
      <c r="D25" s="9"/>
      <c r="E25" s="9"/>
      <c r="F25" s="9"/>
      <c r="G25" s="9"/>
      <c r="H25" s="10"/>
      <c r="I25" s="10"/>
      <c r="J25" s="10"/>
      <c r="K25" s="10"/>
      <c r="L25" s="10"/>
      <c r="M25" s="10"/>
      <c r="N25" s="10"/>
      <c r="O25" s="10"/>
      <c r="P25" s="10"/>
      <c r="Q25" s="10"/>
      <c r="R25" s="10"/>
      <c r="S25" s="10"/>
      <c r="T25" s="10"/>
      <c r="U25" s="11"/>
      <c r="V25" s="33"/>
    </row>
    <row r="26" spans="1:22" ht="26.25" customHeight="1" thickTop="1" x14ac:dyDescent="0.2">
      <c r="B26" s="34"/>
      <c r="C26" s="35"/>
      <c r="D26" s="35"/>
      <c r="E26" s="35"/>
      <c r="F26" s="35"/>
      <c r="G26" s="35"/>
      <c r="H26" s="36"/>
      <c r="I26" s="36"/>
      <c r="J26" s="36"/>
      <c r="K26" s="36"/>
      <c r="L26" s="36"/>
      <c r="M26" s="36"/>
      <c r="N26" s="36"/>
      <c r="O26" s="36"/>
      <c r="P26" s="37"/>
      <c r="Q26" s="38"/>
      <c r="R26" s="39" t="s">
        <v>99</v>
      </c>
      <c r="S26" s="22" t="s">
        <v>100</v>
      </c>
      <c r="T26" s="39" t="s">
        <v>101</v>
      </c>
      <c r="U26" s="22" t="s">
        <v>102</v>
      </c>
    </row>
    <row r="27" spans="1:22" ht="26.25" customHeight="1" thickBot="1" x14ac:dyDescent="0.25">
      <c r="B27" s="40"/>
      <c r="C27" s="41"/>
      <c r="D27" s="41"/>
      <c r="E27" s="41"/>
      <c r="F27" s="41"/>
      <c r="G27" s="41"/>
      <c r="H27" s="42"/>
      <c r="I27" s="42"/>
      <c r="J27" s="42"/>
      <c r="K27" s="42"/>
      <c r="L27" s="42"/>
      <c r="M27" s="42"/>
      <c r="N27" s="42"/>
      <c r="O27" s="42"/>
      <c r="P27" s="43"/>
      <c r="Q27" s="44"/>
      <c r="R27" s="45" t="s">
        <v>103</v>
      </c>
      <c r="S27" s="44" t="s">
        <v>103</v>
      </c>
      <c r="T27" s="44" t="s">
        <v>103</v>
      </c>
      <c r="U27" s="44" t="s">
        <v>104</v>
      </c>
    </row>
    <row r="28" spans="1:22" ht="13.5" customHeight="1" thickBot="1" x14ac:dyDescent="0.25">
      <c r="B28" s="65" t="s">
        <v>105</v>
      </c>
      <c r="C28" s="66"/>
      <c r="D28" s="66"/>
      <c r="E28" s="46"/>
      <c r="F28" s="46"/>
      <c r="G28" s="46"/>
      <c r="H28" s="47"/>
      <c r="I28" s="47"/>
      <c r="J28" s="47"/>
      <c r="K28" s="47"/>
      <c r="L28" s="47"/>
      <c r="M28" s="47"/>
      <c r="N28" s="47"/>
      <c r="O28" s="47"/>
      <c r="P28" s="48"/>
      <c r="Q28" s="48"/>
      <c r="R28" s="49">
        <f>1176.929362</f>
        <v>1176.9293620000001</v>
      </c>
      <c r="S28" s="49">
        <f>809.135568</f>
        <v>809.13556800000003</v>
      </c>
      <c r="T28" s="49">
        <f>780.51518546</f>
        <v>780.51518546</v>
      </c>
      <c r="U28" s="50">
        <f>+IF(ISERR(T28/S28*100),"N/A",T28/S28*100)</f>
        <v>96.462844587249691</v>
      </c>
    </row>
    <row r="29" spans="1:22" ht="13.5" customHeight="1" thickBot="1" x14ac:dyDescent="0.25">
      <c r="B29" s="67" t="s">
        <v>106</v>
      </c>
      <c r="C29" s="68"/>
      <c r="D29" s="68"/>
      <c r="E29" s="51"/>
      <c r="F29" s="51"/>
      <c r="G29" s="51"/>
      <c r="H29" s="52"/>
      <c r="I29" s="52"/>
      <c r="J29" s="52"/>
      <c r="K29" s="52"/>
      <c r="L29" s="52"/>
      <c r="M29" s="52"/>
      <c r="N29" s="52"/>
      <c r="O29" s="52"/>
      <c r="P29" s="53"/>
      <c r="Q29" s="53"/>
      <c r="R29" s="49">
        <f>1129.15724</f>
        <v>1129.15724</v>
      </c>
      <c r="S29" s="49">
        <f>799.711852</f>
        <v>799.71185200000002</v>
      </c>
      <c r="T29" s="49">
        <f>780.51518546</f>
        <v>780.51518546</v>
      </c>
      <c r="U29" s="50">
        <f>+IF(ISERR(T29/S29*100),"N/A",T29/S29*100)</f>
        <v>97.599552077164901</v>
      </c>
    </row>
    <row r="30" spans="1:22" ht="14.85" customHeight="1" thickTop="1" thickBot="1" x14ac:dyDescent="0.25">
      <c r="B30" s="8" t="s">
        <v>107</v>
      </c>
      <c r="C30" s="9"/>
      <c r="D30" s="9"/>
      <c r="E30" s="9"/>
      <c r="F30" s="9"/>
      <c r="G30" s="9"/>
      <c r="H30" s="10"/>
      <c r="I30" s="10"/>
      <c r="J30" s="10"/>
      <c r="K30" s="10"/>
      <c r="L30" s="10"/>
      <c r="M30" s="10"/>
      <c r="N30" s="10"/>
      <c r="O30" s="10"/>
      <c r="P30" s="10"/>
      <c r="Q30" s="10"/>
      <c r="R30" s="10"/>
      <c r="S30" s="10"/>
      <c r="T30" s="10"/>
      <c r="U30" s="11"/>
    </row>
    <row r="31" spans="1:22" ht="44.25" customHeight="1" thickTop="1" x14ac:dyDescent="0.2">
      <c r="B31" s="69" t="s">
        <v>108</v>
      </c>
      <c r="C31" s="70"/>
      <c r="D31" s="70"/>
      <c r="E31" s="70"/>
      <c r="F31" s="70"/>
      <c r="G31" s="70"/>
      <c r="H31" s="70"/>
      <c r="I31" s="70"/>
      <c r="J31" s="70"/>
      <c r="K31" s="70"/>
      <c r="L31" s="70"/>
      <c r="M31" s="70"/>
      <c r="N31" s="70"/>
      <c r="O31" s="70"/>
      <c r="P31" s="70"/>
      <c r="Q31" s="70"/>
      <c r="R31" s="70"/>
      <c r="S31" s="70"/>
      <c r="T31" s="70"/>
      <c r="U31" s="71"/>
    </row>
    <row r="32" spans="1:22" ht="34.5" customHeight="1" x14ac:dyDescent="0.2">
      <c r="B32" s="59" t="s">
        <v>114</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175</v>
      </c>
      <c r="C33" s="60"/>
      <c r="D33" s="60"/>
      <c r="E33" s="60"/>
      <c r="F33" s="60"/>
      <c r="G33" s="60"/>
      <c r="H33" s="60"/>
      <c r="I33" s="60"/>
      <c r="J33" s="60"/>
      <c r="K33" s="60"/>
      <c r="L33" s="60"/>
      <c r="M33" s="60"/>
      <c r="N33" s="60"/>
      <c r="O33" s="60"/>
      <c r="P33" s="60"/>
      <c r="Q33" s="60"/>
      <c r="R33" s="60"/>
      <c r="S33" s="60"/>
      <c r="T33" s="60"/>
      <c r="U33" s="61"/>
    </row>
    <row r="34" spans="2:21" ht="30.6" customHeight="1" x14ac:dyDescent="0.2">
      <c r="B34" s="59" t="s">
        <v>176</v>
      </c>
      <c r="C34" s="60"/>
      <c r="D34" s="60"/>
      <c r="E34" s="60"/>
      <c r="F34" s="60"/>
      <c r="G34" s="60"/>
      <c r="H34" s="60"/>
      <c r="I34" s="60"/>
      <c r="J34" s="60"/>
      <c r="K34" s="60"/>
      <c r="L34" s="60"/>
      <c r="M34" s="60"/>
      <c r="N34" s="60"/>
      <c r="O34" s="60"/>
      <c r="P34" s="60"/>
      <c r="Q34" s="60"/>
      <c r="R34" s="60"/>
      <c r="S34" s="60"/>
      <c r="T34" s="60"/>
      <c r="U34" s="61"/>
    </row>
    <row r="35" spans="2:21" ht="58.7" customHeight="1" x14ac:dyDescent="0.2">
      <c r="B35" s="59" t="s">
        <v>177</v>
      </c>
      <c r="C35" s="60"/>
      <c r="D35" s="60"/>
      <c r="E35" s="60"/>
      <c r="F35" s="60"/>
      <c r="G35" s="60"/>
      <c r="H35" s="60"/>
      <c r="I35" s="60"/>
      <c r="J35" s="60"/>
      <c r="K35" s="60"/>
      <c r="L35" s="60"/>
      <c r="M35" s="60"/>
      <c r="N35" s="60"/>
      <c r="O35" s="60"/>
      <c r="P35" s="60"/>
      <c r="Q35" s="60"/>
      <c r="R35" s="60"/>
      <c r="S35" s="60"/>
      <c r="T35" s="60"/>
      <c r="U35" s="61"/>
    </row>
    <row r="36" spans="2:21" ht="33" customHeight="1" x14ac:dyDescent="0.2">
      <c r="B36" s="59" t="s">
        <v>178</v>
      </c>
      <c r="C36" s="60"/>
      <c r="D36" s="60"/>
      <c r="E36" s="60"/>
      <c r="F36" s="60"/>
      <c r="G36" s="60"/>
      <c r="H36" s="60"/>
      <c r="I36" s="60"/>
      <c r="J36" s="60"/>
      <c r="K36" s="60"/>
      <c r="L36" s="60"/>
      <c r="M36" s="60"/>
      <c r="N36" s="60"/>
      <c r="O36" s="60"/>
      <c r="P36" s="60"/>
      <c r="Q36" s="60"/>
      <c r="R36" s="60"/>
      <c r="S36" s="60"/>
      <c r="T36" s="60"/>
      <c r="U36" s="61"/>
    </row>
    <row r="37" spans="2:21" ht="39" customHeight="1" x14ac:dyDescent="0.2">
      <c r="B37" s="59" t="s">
        <v>179</v>
      </c>
      <c r="C37" s="60"/>
      <c r="D37" s="60"/>
      <c r="E37" s="60"/>
      <c r="F37" s="60"/>
      <c r="G37" s="60"/>
      <c r="H37" s="60"/>
      <c r="I37" s="60"/>
      <c r="J37" s="60"/>
      <c r="K37" s="60"/>
      <c r="L37" s="60"/>
      <c r="M37" s="60"/>
      <c r="N37" s="60"/>
      <c r="O37" s="60"/>
      <c r="P37" s="60"/>
      <c r="Q37" s="60"/>
      <c r="R37" s="60"/>
      <c r="S37" s="60"/>
      <c r="T37" s="60"/>
      <c r="U37" s="61"/>
    </row>
    <row r="38" spans="2:21" ht="26.1" customHeight="1" x14ac:dyDescent="0.2">
      <c r="B38" s="59" t="s">
        <v>180</v>
      </c>
      <c r="C38" s="60"/>
      <c r="D38" s="60"/>
      <c r="E38" s="60"/>
      <c r="F38" s="60"/>
      <c r="G38" s="60"/>
      <c r="H38" s="60"/>
      <c r="I38" s="60"/>
      <c r="J38" s="60"/>
      <c r="K38" s="60"/>
      <c r="L38" s="60"/>
      <c r="M38" s="60"/>
      <c r="N38" s="60"/>
      <c r="O38" s="60"/>
      <c r="P38" s="60"/>
      <c r="Q38" s="60"/>
      <c r="R38" s="60"/>
      <c r="S38" s="60"/>
      <c r="T38" s="60"/>
      <c r="U38" s="61"/>
    </row>
    <row r="39" spans="2:21" ht="27" customHeight="1" x14ac:dyDescent="0.2">
      <c r="B39" s="59" t="s">
        <v>181</v>
      </c>
      <c r="C39" s="60"/>
      <c r="D39" s="60"/>
      <c r="E39" s="60"/>
      <c r="F39" s="60"/>
      <c r="G39" s="60"/>
      <c r="H39" s="60"/>
      <c r="I39" s="60"/>
      <c r="J39" s="60"/>
      <c r="K39" s="60"/>
      <c r="L39" s="60"/>
      <c r="M39" s="60"/>
      <c r="N39" s="60"/>
      <c r="O39" s="60"/>
      <c r="P39" s="60"/>
      <c r="Q39" s="60"/>
      <c r="R39" s="60"/>
      <c r="S39" s="60"/>
      <c r="T39" s="60"/>
      <c r="U39" s="61"/>
    </row>
    <row r="40" spans="2:21" ht="30.2" customHeight="1" x14ac:dyDescent="0.2">
      <c r="B40" s="59" t="s">
        <v>182</v>
      </c>
      <c r="C40" s="60"/>
      <c r="D40" s="60"/>
      <c r="E40" s="60"/>
      <c r="F40" s="60"/>
      <c r="G40" s="60"/>
      <c r="H40" s="60"/>
      <c r="I40" s="60"/>
      <c r="J40" s="60"/>
      <c r="K40" s="60"/>
      <c r="L40" s="60"/>
      <c r="M40" s="60"/>
      <c r="N40" s="60"/>
      <c r="O40" s="60"/>
      <c r="P40" s="60"/>
      <c r="Q40" s="60"/>
      <c r="R40" s="60"/>
      <c r="S40" s="60"/>
      <c r="T40" s="60"/>
      <c r="U40" s="61"/>
    </row>
    <row r="41" spans="2:21" ht="36.200000000000003" customHeight="1" x14ac:dyDescent="0.2">
      <c r="B41" s="59" t="s">
        <v>183</v>
      </c>
      <c r="C41" s="60"/>
      <c r="D41" s="60"/>
      <c r="E41" s="60"/>
      <c r="F41" s="60"/>
      <c r="G41" s="60"/>
      <c r="H41" s="60"/>
      <c r="I41" s="60"/>
      <c r="J41" s="60"/>
      <c r="K41" s="60"/>
      <c r="L41" s="60"/>
      <c r="M41" s="60"/>
      <c r="N41" s="60"/>
      <c r="O41" s="60"/>
      <c r="P41" s="60"/>
      <c r="Q41" s="60"/>
      <c r="R41" s="60"/>
      <c r="S41" s="60"/>
      <c r="T41" s="60"/>
      <c r="U41" s="61"/>
    </row>
    <row r="42" spans="2:21" ht="40.35" customHeight="1" x14ac:dyDescent="0.2">
      <c r="B42" s="59" t="s">
        <v>184</v>
      </c>
      <c r="C42" s="60"/>
      <c r="D42" s="60"/>
      <c r="E42" s="60"/>
      <c r="F42" s="60"/>
      <c r="G42" s="60"/>
      <c r="H42" s="60"/>
      <c r="I42" s="60"/>
      <c r="J42" s="60"/>
      <c r="K42" s="60"/>
      <c r="L42" s="60"/>
      <c r="M42" s="60"/>
      <c r="N42" s="60"/>
      <c r="O42" s="60"/>
      <c r="P42" s="60"/>
      <c r="Q42" s="60"/>
      <c r="R42" s="60"/>
      <c r="S42" s="60"/>
      <c r="T42" s="60"/>
      <c r="U42" s="61"/>
    </row>
    <row r="43" spans="2:21" ht="46.5" customHeight="1" x14ac:dyDescent="0.2">
      <c r="B43" s="59" t="s">
        <v>185</v>
      </c>
      <c r="C43" s="60"/>
      <c r="D43" s="60"/>
      <c r="E43" s="60"/>
      <c r="F43" s="60"/>
      <c r="G43" s="60"/>
      <c r="H43" s="60"/>
      <c r="I43" s="60"/>
      <c r="J43" s="60"/>
      <c r="K43" s="60"/>
      <c r="L43" s="60"/>
      <c r="M43" s="60"/>
      <c r="N43" s="60"/>
      <c r="O43" s="60"/>
      <c r="P43" s="60"/>
      <c r="Q43" s="60"/>
      <c r="R43" s="60"/>
      <c r="S43" s="60"/>
      <c r="T43" s="60"/>
      <c r="U43" s="61"/>
    </row>
    <row r="44" spans="2:21" ht="49.7" customHeight="1" x14ac:dyDescent="0.2">
      <c r="B44" s="59" t="s">
        <v>186</v>
      </c>
      <c r="C44" s="60"/>
      <c r="D44" s="60"/>
      <c r="E44" s="60"/>
      <c r="F44" s="60"/>
      <c r="G44" s="60"/>
      <c r="H44" s="60"/>
      <c r="I44" s="60"/>
      <c r="J44" s="60"/>
      <c r="K44" s="60"/>
      <c r="L44" s="60"/>
      <c r="M44" s="60"/>
      <c r="N44" s="60"/>
      <c r="O44" s="60"/>
      <c r="P44" s="60"/>
      <c r="Q44" s="60"/>
      <c r="R44" s="60"/>
      <c r="S44" s="60"/>
      <c r="T44" s="60"/>
      <c r="U44" s="61"/>
    </row>
    <row r="45" spans="2:21" ht="47.1" customHeight="1" thickBot="1" x14ac:dyDescent="0.25">
      <c r="B45" s="62" t="s">
        <v>187</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188</v>
      </c>
      <c r="D4" s="99" t="s">
        <v>189</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191</v>
      </c>
      <c r="D6" s="80"/>
      <c r="E6" s="80"/>
      <c r="F6" s="80"/>
      <c r="G6" s="80"/>
      <c r="H6" s="18"/>
      <c r="I6" s="18"/>
      <c r="J6" s="18" t="s">
        <v>18</v>
      </c>
      <c r="K6" s="80" t="s">
        <v>192</v>
      </c>
      <c r="L6" s="80"/>
      <c r="M6" s="80"/>
      <c r="N6" s="19"/>
      <c r="O6" s="20" t="s">
        <v>20</v>
      </c>
      <c r="P6" s="80" t="s">
        <v>193</v>
      </c>
      <c r="Q6" s="80"/>
      <c r="R6" s="21"/>
      <c r="S6" s="20" t="s">
        <v>22</v>
      </c>
      <c r="T6" s="80" t="s">
        <v>194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195</v>
      </c>
      <c r="D11" s="73"/>
      <c r="E11" s="73"/>
      <c r="F11" s="73"/>
      <c r="G11" s="73"/>
      <c r="H11" s="73"/>
      <c r="I11" s="73" t="s">
        <v>196</v>
      </c>
      <c r="J11" s="73"/>
      <c r="K11" s="73"/>
      <c r="L11" s="73" t="s">
        <v>197</v>
      </c>
      <c r="M11" s="73"/>
      <c r="N11" s="73"/>
      <c r="O11" s="73"/>
      <c r="P11" s="27" t="s">
        <v>48</v>
      </c>
      <c r="Q11" s="27" t="s">
        <v>61</v>
      </c>
      <c r="R11" s="54">
        <v>0.25</v>
      </c>
      <c r="S11" s="54" t="s">
        <v>44</v>
      </c>
      <c r="T11" s="54" t="s">
        <v>44</v>
      </c>
      <c r="U11" s="28" t="str">
        <f t="shared" ref="U11:U20" si="0">IF(ISERR(T11/S11*100),"N/A",T11/S11*100)</f>
        <v>N/A</v>
      </c>
    </row>
    <row r="12" spans="1:34" ht="75" customHeight="1" x14ac:dyDescent="0.2">
      <c r="A12" s="25"/>
      <c r="B12" s="29" t="s">
        <v>45</v>
      </c>
      <c r="C12" s="72" t="s">
        <v>45</v>
      </c>
      <c r="D12" s="72"/>
      <c r="E12" s="72"/>
      <c r="F12" s="72"/>
      <c r="G12" s="72"/>
      <c r="H12" s="72"/>
      <c r="I12" s="72" t="s">
        <v>198</v>
      </c>
      <c r="J12" s="72"/>
      <c r="K12" s="72"/>
      <c r="L12" s="72" t="s">
        <v>199</v>
      </c>
      <c r="M12" s="72"/>
      <c r="N12" s="72"/>
      <c r="O12" s="72"/>
      <c r="P12" s="30" t="s">
        <v>48</v>
      </c>
      <c r="Q12" s="30" t="s">
        <v>43</v>
      </c>
      <c r="R12" s="30">
        <v>67.09</v>
      </c>
      <c r="S12" s="30" t="s">
        <v>44</v>
      </c>
      <c r="T12" s="30" t="s">
        <v>44</v>
      </c>
      <c r="U12" s="32" t="str">
        <f t="shared" si="0"/>
        <v>N/A</v>
      </c>
    </row>
    <row r="13" spans="1:34" ht="75" customHeight="1" x14ac:dyDescent="0.2">
      <c r="A13" s="25"/>
      <c r="B13" s="29" t="s">
        <v>45</v>
      </c>
      <c r="C13" s="72" t="s">
        <v>45</v>
      </c>
      <c r="D13" s="72"/>
      <c r="E13" s="72"/>
      <c r="F13" s="72"/>
      <c r="G13" s="72"/>
      <c r="H13" s="72"/>
      <c r="I13" s="72" t="s">
        <v>200</v>
      </c>
      <c r="J13" s="72"/>
      <c r="K13" s="72"/>
      <c r="L13" s="72" t="s">
        <v>201</v>
      </c>
      <c r="M13" s="72"/>
      <c r="N13" s="72"/>
      <c r="O13" s="72"/>
      <c r="P13" s="30" t="s">
        <v>48</v>
      </c>
      <c r="Q13" s="30" t="s">
        <v>139</v>
      </c>
      <c r="R13" s="30">
        <v>45.32</v>
      </c>
      <c r="S13" s="30">
        <v>45.01</v>
      </c>
      <c r="T13" s="30">
        <v>45.33</v>
      </c>
      <c r="U13" s="32">
        <f t="shared" si="0"/>
        <v>100.71095312152856</v>
      </c>
    </row>
    <row r="14" spans="1:34" ht="75" customHeight="1" thickBot="1" x14ac:dyDescent="0.25">
      <c r="A14" s="25"/>
      <c r="B14" s="29" t="s">
        <v>45</v>
      </c>
      <c r="C14" s="72" t="s">
        <v>45</v>
      </c>
      <c r="D14" s="72"/>
      <c r="E14" s="72"/>
      <c r="F14" s="72"/>
      <c r="G14" s="72"/>
      <c r="H14" s="72"/>
      <c r="I14" s="72" t="s">
        <v>202</v>
      </c>
      <c r="J14" s="72"/>
      <c r="K14" s="72"/>
      <c r="L14" s="72" t="s">
        <v>203</v>
      </c>
      <c r="M14" s="72"/>
      <c r="N14" s="72"/>
      <c r="O14" s="72"/>
      <c r="P14" s="30" t="s">
        <v>48</v>
      </c>
      <c r="Q14" s="30" t="s">
        <v>139</v>
      </c>
      <c r="R14" s="30">
        <v>42.73</v>
      </c>
      <c r="S14" s="30">
        <v>42.55</v>
      </c>
      <c r="T14" s="30">
        <v>49.42</v>
      </c>
      <c r="U14" s="32">
        <f t="shared" si="0"/>
        <v>116.14571092831964</v>
      </c>
    </row>
    <row r="15" spans="1:34" ht="75" customHeight="1" thickTop="1" thickBot="1" x14ac:dyDescent="0.25">
      <c r="A15" s="25"/>
      <c r="B15" s="26" t="s">
        <v>62</v>
      </c>
      <c r="C15" s="73" t="s">
        <v>204</v>
      </c>
      <c r="D15" s="73"/>
      <c r="E15" s="73"/>
      <c r="F15" s="73"/>
      <c r="G15" s="73"/>
      <c r="H15" s="73"/>
      <c r="I15" s="73" t="s">
        <v>205</v>
      </c>
      <c r="J15" s="73"/>
      <c r="K15" s="73"/>
      <c r="L15" s="73" t="s">
        <v>206</v>
      </c>
      <c r="M15" s="73"/>
      <c r="N15" s="73"/>
      <c r="O15" s="73"/>
      <c r="P15" s="27" t="s">
        <v>48</v>
      </c>
      <c r="Q15" s="27" t="s">
        <v>139</v>
      </c>
      <c r="R15" s="27">
        <v>65.27</v>
      </c>
      <c r="S15" s="27">
        <v>65.09</v>
      </c>
      <c r="T15" s="27">
        <v>62.7</v>
      </c>
      <c r="U15" s="28">
        <f t="shared" si="0"/>
        <v>96.328161007835305</v>
      </c>
    </row>
    <row r="16" spans="1:34" ht="75" customHeight="1" thickTop="1" x14ac:dyDescent="0.2">
      <c r="A16" s="25"/>
      <c r="B16" s="26" t="s">
        <v>71</v>
      </c>
      <c r="C16" s="73" t="s">
        <v>207</v>
      </c>
      <c r="D16" s="73"/>
      <c r="E16" s="73"/>
      <c r="F16" s="73"/>
      <c r="G16" s="73"/>
      <c r="H16" s="73"/>
      <c r="I16" s="73" t="s">
        <v>208</v>
      </c>
      <c r="J16" s="73"/>
      <c r="K16" s="73"/>
      <c r="L16" s="73" t="s">
        <v>209</v>
      </c>
      <c r="M16" s="73"/>
      <c r="N16" s="73"/>
      <c r="O16" s="73"/>
      <c r="P16" s="27" t="s">
        <v>48</v>
      </c>
      <c r="Q16" s="27" t="s">
        <v>91</v>
      </c>
      <c r="R16" s="27">
        <v>81.98</v>
      </c>
      <c r="S16" s="27">
        <v>81.92</v>
      </c>
      <c r="T16" s="27">
        <v>81.84</v>
      </c>
      <c r="U16" s="28">
        <f t="shared" si="0"/>
        <v>99.90234375</v>
      </c>
    </row>
    <row r="17" spans="1:22" ht="75" customHeight="1" x14ac:dyDescent="0.2">
      <c r="A17" s="25"/>
      <c r="B17" s="29" t="s">
        <v>45</v>
      </c>
      <c r="C17" s="72" t="s">
        <v>45</v>
      </c>
      <c r="D17" s="72"/>
      <c r="E17" s="72"/>
      <c r="F17" s="72"/>
      <c r="G17" s="72"/>
      <c r="H17" s="72"/>
      <c r="I17" s="72" t="s">
        <v>210</v>
      </c>
      <c r="J17" s="72"/>
      <c r="K17" s="72"/>
      <c r="L17" s="72" t="s">
        <v>211</v>
      </c>
      <c r="M17" s="72"/>
      <c r="N17" s="72"/>
      <c r="O17" s="72"/>
      <c r="P17" s="30" t="s">
        <v>212</v>
      </c>
      <c r="Q17" s="30" t="s">
        <v>61</v>
      </c>
      <c r="R17" s="30">
        <v>0.91</v>
      </c>
      <c r="S17" s="30" t="s">
        <v>44</v>
      </c>
      <c r="T17" s="30" t="s">
        <v>44</v>
      </c>
      <c r="U17" s="32" t="str">
        <f t="shared" si="0"/>
        <v>N/A</v>
      </c>
    </row>
    <row r="18" spans="1:22" ht="75" customHeight="1" thickBot="1" x14ac:dyDescent="0.25">
      <c r="A18" s="25"/>
      <c r="B18" s="29" t="s">
        <v>45</v>
      </c>
      <c r="C18" s="72" t="s">
        <v>213</v>
      </c>
      <c r="D18" s="72"/>
      <c r="E18" s="72"/>
      <c r="F18" s="72"/>
      <c r="G18" s="72"/>
      <c r="H18" s="72"/>
      <c r="I18" s="72" t="s">
        <v>214</v>
      </c>
      <c r="J18" s="72"/>
      <c r="K18" s="72"/>
      <c r="L18" s="72" t="s">
        <v>215</v>
      </c>
      <c r="M18" s="72"/>
      <c r="N18" s="72"/>
      <c r="O18" s="72"/>
      <c r="P18" s="30" t="s">
        <v>212</v>
      </c>
      <c r="Q18" s="30" t="s">
        <v>91</v>
      </c>
      <c r="R18" s="30">
        <v>0.57999999999999996</v>
      </c>
      <c r="S18" s="30">
        <v>0.56000000000000005</v>
      </c>
      <c r="T18" s="30">
        <v>-17.55</v>
      </c>
      <c r="U18" s="32">
        <f t="shared" si="0"/>
        <v>-3133.9285714285711</v>
      </c>
    </row>
    <row r="19" spans="1:22" ht="75" customHeight="1" thickTop="1" x14ac:dyDescent="0.2">
      <c r="A19" s="25"/>
      <c r="B19" s="26" t="s">
        <v>87</v>
      </c>
      <c r="C19" s="73" t="s">
        <v>216</v>
      </c>
      <c r="D19" s="73"/>
      <c r="E19" s="73"/>
      <c r="F19" s="73"/>
      <c r="G19" s="73"/>
      <c r="H19" s="73"/>
      <c r="I19" s="73" t="s">
        <v>217</v>
      </c>
      <c r="J19" s="73"/>
      <c r="K19" s="73"/>
      <c r="L19" s="73" t="s">
        <v>218</v>
      </c>
      <c r="M19" s="73"/>
      <c r="N19" s="73"/>
      <c r="O19" s="73"/>
      <c r="P19" s="27" t="s">
        <v>48</v>
      </c>
      <c r="Q19" s="27" t="s">
        <v>91</v>
      </c>
      <c r="R19" s="27">
        <v>84.38</v>
      </c>
      <c r="S19" s="27">
        <v>84.38</v>
      </c>
      <c r="T19" s="27">
        <v>83.15</v>
      </c>
      <c r="U19" s="28">
        <f t="shared" si="0"/>
        <v>98.542308603934586</v>
      </c>
    </row>
    <row r="20" spans="1:22" ht="75" customHeight="1" thickBot="1" x14ac:dyDescent="0.25">
      <c r="A20" s="25"/>
      <c r="B20" s="29" t="s">
        <v>45</v>
      </c>
      <c r="C20" s="72" t="s">
        <v>45</v>
      </c>
      <c r="D20" s="72"/>
      <c r="E20" s="72"/>
      <c r="F20" s="72"/>
      <c r="G20" s="72"/>
      <c r="H20" s="72"/>
      <c r="I20" s="72" t="s">
        <v>219</v>
      </c>
      <c r="J20" s="72"/>
      <c r="K20" s="72"/>
      <c r="L20" s="72" t="s">
        <v>220</v>
      </c>
      <c r="M20" s="72"/>
      <c r="N20" s="72"/>
      <c r="O20" s="72"/>
      <c r="P20" s="30" t="s">
        <v>212</v>
      </c>
      <c r="Q20" s="30" t="s">
        <v>91</v>
      </c>
      <c r="R20" s="30">
        <v>2.08</v>
      </c>
      <c r="S20" s="30">
        <v>2.08</v>
      </c>
      <c r="T20" s="30">
        <v>2.61</v>
      </c>
      <c r="U20" s="32">
        <f t="shared" si="0"/>
        <v>125.48076923076923</v>
      </c>
    </row>
    <row r="21" spans="1:22" ht="22.5" customHeight="1" thickTop="1" thickBot="1" x14ac:dyDescent="0.25">
      <c r="B21" s="8" t="s">
        <v>98</v>
      </c>
      <c r="C21" s="9"/>
      <c r="D21" s="9"/>
      <c r="E21" s="9"/>
      <c r="F21" s="9"/>
      <c r="G21" s="9"/>
      <c r="H21" s="10"/>
      <c r="I21" s="10"/>
      <c r="J21" s="10"/>
      <c r="K21" s="10"/>
      <c r="L21" s="10"/>
      <c r="M21" s="10"/>
      <c r="N21" s="10"/>
      <c r="O21" s="10"/>
      <c r="P21" s="10"/>
      <c r="Q21" s="10"/>
      <c r="R21" s="10"/>
      <c r="S21" s="10"/>
      <c r="T21" s="10"/>
      <c r="U21" s="11"/>
      <c r="V21" s="33"/>
    </row>
    <row r="22" spans="1:22" ht="26.25" customHeight="1" thickTop="1" x14ac:dyDescent="0.2">
      <c r="B22" s="34"/>
      <c r="C22" s="35"/>
      <c r="D22" s="35"/>
      <c r="E22" s="35"/>
      <c r="F22" s="35"/>
      <c r="G22" s="35"/>
      <c r="H22" s="36"/>
      <c r="I22" s="36"/>
      <c r="J22" s="36"/>
      <c r="K22" s="36"/>
      <c r="L22" s="36"/>
      <c r="M22" s="36"/>
      <c r="N22" s="36"/>
      <c r="O22" s="36"/>
      <c r="P22" s="37"/>
      <c r="Q22" s="38"/>
      <c r="R22" s="39" t="s">
        <v>99</v>
      </c>
      <c r="S22" s="22" t="s">
        <v>100</v>
      </c>
      <c r="T22" s="39" t="s">
        <v>101</v>
      </c>
      <c r="U22" s="22" t="s">
        <v>102</v>
      </c>
    </row>
    <row r="23" spans="1:22" ht="26.25" customHeight="1" thickBot="1" x14ac:dyDescent="0.25">
      <c r="B23" s="40"/>
      <c r="C23" s="41"/>
      <c r="D23" s="41"/>
      <c r="E23" s="41"/>
      <c r="F23" s="41"/>
      <c r="G23" s="41"/>
      <c r="H23" s="42"/>
      <c r="I23" s="42"/>
      <c r="J23" s="42"/>
      <c r="K23" s="42"/>
      <c r="L23" s="42"/>
      <c r="M23" s="42"/>
      <c r="N23" s="42"/>
      <c r="O23" s="42"/>
      <c r="P23" s="43"/>
      <c r="Q23" s="44"/>
      <c r="R23" s="45" t="s">
        <v>103</v>
      </c>
      <c r="S23" s="44" t="s">
        <v>103</v>
      </c>
      <c r="T23" s="44" t="s">
        <v>103</v>
      </c>
      <c r="U23" s="44" t="s">
        <v>104</v>
      </c>
    </row>
    <row r="24" spans="1:22" ht="13.5" customHeight="1" thickBot="1" x14ac:dyDescent="0.25">
      <c r="B24" s="65" t="s">
        <v>105</v>
      </c>
      <c r="C24" s="66"/>
      <c r="D24" s="66"/>
      <c r="E24" s="46"/>
      <c r="F24" s="46"/>
      <c r="G24" s="46"/>
      <c r="H24" s="47"/>
      <c r="I24" s="47"/>
      <c r="J24" s="47"/>
      <c r="K24" s="47"/>
      <c r="L24" s="47"/>
      <c r="M24" s="47"/>
      <c r="N24" s="47"/>
      <c r="O24" s="47"/>
      <c r="P24" s="48"/>
      <c r="Q24" s="48"/>
      <c r="R24" s="49">
        <f>718.539898</f>
        <v>718.53989799999999</v>
      </c>
      <c r="S24" s="49">
        <f>429.386581</f>
        <v>429.38658099999998</v>
      </c>
      <c r="T24" s="49">
        <f>463.301562459999</f>
        <v>463.30156245999899</v>
      </c>
      <c r="U24" s="50">
        <f>+IF(ISERR(T24/S24*100),"N/A",T24/S24*100)</f>
        <v>107.8984726027102</v>
      </c>
    </row>
    <row r="25" spans="1:22" ht="13.5" customHeight="1" thickBot="1" x14ac:dyDescent="0.25">
      <c r="B25" s="67" t="s">
        <v>106</v>
      </c>
      <c r="C25" s="68"/>
      <c r="D25" s="68"/>
      <c r="E25" s="51"/>
      <c r="F25" s="51"/>
      <c r="G25" s="51"/>
      <c r="H25" s="52"/>
      <c r="I25" s="52"/>
      <c r="J25" s="52"/>
      <c r="K25" s="52"/>
      <c r="L25" s="52"/>
      <c r="M25" s="52"/>
      <c r="N25" s="52"/>
      <c r="O25" s="52"/>
      <c r="P25" s="53"/>
      <c r="Q25" s="53"/>
      <c r="R25" s="49">
        <f>671.096601</f>
        <v>671.09660099999996</v>
      </c>
      <c r="S25" s="49">
        <f>482.684439</f>
        <v>482.684439</v>
      </c>
      <c r="T25" s="49">
        <f>463.301562459999</f>
        <v>463.30156245999899</v>
      </c>
      <c r="U25" s="50">
        <f>+IF(ISERR(T25/S25*100),"N/A",T25/S25*100)</f>
        <v>95.984358522069329</v>
      </c>
    </row>
    <row r="26" spans="1:22" ht="14.85" customHeight="1" thickTop="1" thickBot="1" x14ac:dyDescent="0.25">
      <c r="B26" s="8" t="s">
        <v>107</v>
      </c>
      <c r="C26" s="9"/>
      <c r="D26" s="9"/>
      <c r="E26" s="9"/>
      <c r="F26" s="9"/>
      <c r="G26" s="9"/>
      <c r="H26" s="10"/>
      <c r="I26" s="10"/>
      <c r="J26" s="10"/>
      <c r="K26" s="10"/>
      <c r="L26" s="10"/>
      <c r="M26" s="10"/>
      <c r="N26" s="10"/>
      <c r="O26" s="10"/>
      <c r="P26" s="10"/>
      <c r="Q26" s="10"/>
      <c r="R26" s="10"/>
      <c r="S26" s="10"/>
      <c r="T26" s="10"/>
      <c r="U26" s="11"/>
    </row>
    <row r="27" spans="1:22" ht="44.25" customHeight="1" thickTop="1" x14ac:dyDescent="0.2">
      <c r="B27" s="69" t="s">
        <v>108</v>
      </c>
      <c r="C27" s="70"/>
      <c r="D27" s="70"/>
      <c r="E27" s="70"/>
      <c r="F27" s="70"/>
      <c r="G27" s="70"/>
      <c r="H27" s="70"/>
      <c r="I27" s="70"/>
      <c r="J27" s="70"/>
      <c r="K27" s="70"/>
      <c r="L27" s="70"/>
      <c r="M27" s="70"/>
      <c r="N27" s="70"/>
      <c r="O27" s="70"/>
      <c r="P27" s="70"/>
      <c r="Q27" s="70"/>
      <c r="R27" s="70"/>
      <c r="S27" s="70"/>
      <c r="T27" s="70"/>
      <c r="U27" s="71"/>
    </row>
    <row r="28" spans="1:22" ht="16.350000000000001" customHeight="1" x14ac:dyDescent="0.2">
      <c r="B28" s="59" t="s">
        <v>221</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222</v>
      </c>
      <c r="C29" s="60"/>
      <c r="D29" s="60"/>
      <c r="E29" s="60"/>
      <c r="F29" s="60"/>
      <c r="G29" s="60"/>
      <c r="H29" s="60"/>
      <c r="I29" s="60"/>
      <c r="J29" s="60"/>
      <c r="K29" s="60"/>
      <c r="L29" s="60"/>
      <c r="M29" s="60"/>
      <c r="N29" s="60"/>
      <c r="O29" s="60"/>
      <c r="P29" s="60"/>
      <c r="Q29" s="60"/>
      <c r="R29" s="60"/>
      <c r="S29" s="60"/>
      <c r="T29" s="60"/>
      <c r="U29" s="61"/>
    </row>
    <row r="30" spans="1:22" ht="183" customHeight="1" x14ac:dyDescent="0.2">
      <c r="B30" s="59" t="s">
        <v>223</v>
      </c>
      <c r="C30" s="60"/>
      <c r="D30" s="60"/>
      <c r="E30" s="60"/>
      <c r="F30" s="60"/>
      <c r="G30" s="60"/>
      <c r="H30" s="60"/>
      <c r="I30" s="60"/>
      <c r="J30" s="60"/>
      <c r="K30" s="60"/>
      <c r="L30" s="60"/>
      <c r="M30" s="60"/>
      <c r="N30" s="60"/>
      <c r="O30" s="60"/>
      <c r="P30" s="60"/>
      <c r="Q30" s="60"/>
      <c r="R30" s="60"/>
      <c r="S30" s="60"/>
      <c r="T30" s="60"/>
      <c r="U30" s="61"/>
    </row>
    <row r="31" spans="1:22" ht="113.1" customHeight="1" x14ac:dyDescent="0.2">
      <c r="B31" s="59" t="s">
        <v>224</v>
      </c>
      <c r="C31" s="60"/>
      <c r="D31" s="60"/>
      <c r="E31" s="60"/>
      <c r="F31" s="60"/>
      <c r="G31" s="60"/>
      <c r="H31" s="60"/>
      <c r="I31" s="60"/>
      <c r="J31" s="60"/>
      <c r="K31" s="60"/>
      <c r="L31" s="60"/>
      <c r="M31" s="60"/>
      <c r="N31" s="60"/>
      <c r="O31" s="60"/>
      <c r="P31" s="60"/>
      <c r="Q31" s="60"/>
      <c r="R31" s="60"/>
      <c r="S31" s="60"/>
      <c r="T31" s="60"/>
      <c r="U31" s="61"/>
    </row>
    <row r="32" spans="1:22" ht="140.44999999999999" customHeight="1" x14ac:dyDescent="0.2">
      <c r="B32" s="59" t="s">
        <v>225</v>
      </c>
      <c r="C32" s="60"/>
      <c r="D32" s="60"/>
      <c r="E32" s="60"/>
      <c r="F32" s="60"/>
      <c r="G32" s="60"/>
      <c r="H32" s="60"/>
      <c r="I32" s="60"/>
      <c r="J32" s="60"/>
      <c r="K32" s="60"/>
      <c r="L32" s="60"/>
      <c r="M32" s="60"/>
      <c r="N32" s="60"/>
      <c r="O32" s="60"/>
      <c r="P32" s="60"/>
      <c r="Q32" s="60"/>
      <c r="R32" s="60"/>
      <c r="S32" s="60"/>
      <c r="T32" s="60"/>
      <c r="U32" s="61"/>
    </row>
    <row r="33" spans="2:21" ht="104.85" customHeight="1" x14ac:dyDescent="0.2">
      <c r="B33" s="59" t="s">
        <v>226</v>
      </c>
      <c r="C33" s="60"/>
      <c r="D33" s="60"/>
      <c r="E33" s="60"/>
      <c r="F33" s="60"/>
      <c r="G33" s="60"/>
      <c r="H33" s="60"/>
      <c r="I33" s="60"/>
      <c r="J33" s="60"/>
      <c r="K33" s="60"/>
      <c r="L33" s="60"/>
      <c r="M33" s="60"/>
      <c r="N33" s="60"/>
      <c r="O33" s="60"/>
      <c r="P33" s="60"/>
      <c r="Q33" s="60"/>
      <c r="R33" s="60"/>
      <c r="S33" s="60"/>
      <c r="T33" s="60"/>
      <c r="U33" s="61"/>
    </row>
    <row r="34" spans="2:21" ht="34.5" customHeight="1" x14ac:dyDescent="0.2">
      <c r="B34" s="59" t="s">
        <v>227</v>
      </c>
      <c r="C34" s="60"/>
      <c r="D34" s="60"/>
      <c r="E34" s="60"/>
      <c r="F34" s="60"/>
      <c r="G34" s="60"/>
      <c r="H34" s="60"/>
      <c r="I34" s="60"/>
      <c r="J34" s="60"/>
      <c r="K34" s="60"/>
      <c r="L34" s="60"/>
      <c r="M34" s="60"/>
      <c r="N34" s="60"/>
      <c r="O34" s="60"/>
      <c r="P34" s="60"/>
      <c r="Q34" s="60"/>
      <c r="R34" s="60"/>
      <c r="S34" s="60"/>
      <c r="T34" s="60"/>
      <c r="U34" s="61"/>
    </row>
    <row r="35" spans="2:21" ht="153.94999999999999" customHeight="1" x14ac:dyDescent="0.2">
      <c r="B35" s="59" t="s">
        <v>228</v>
      </c>
      <c r="C35" s="60"/>
      <c r="D35" s="60"/>
      <c r="E35" s="60"/>
      <c r="F35" s="60"/>
      <c r="G35" s="60"/>
      <c r="H35" s="60"/>
      <c r="I35" s="60"/>
      <c r="J35" s="60"/>
      <c r="K35" s="60"/>
      <c r="L35" s="60"/>
      <c r="M35" s="60"/>
      <c r="N35" s="60"/>
      <c r="O35" s="60"/>
      <c r="P35" s="60"/>
      <c r="Q35" s="60"/>
      <c r="R35" s="60"/>
      <c r="S35" s="60"/>
      <c r="T35" s="60"/>
      <c r="U35" s="61"/>
    </row>
    <row r="36" spans="2:21" ht="92.85" customHeight="1" x14ac:dyDescent="0.2">
      <c r="B36" s="59" t="s">
        <v>229</v>
      </c>
      <c r="C36" s="60"/>
      <c r="D36" s="60"/>
      <c r="E36" s="60"/>
      <c r="F36" s="60"/>
      <c r="G36" s="60"/>
      <c r="H36" s="60"/>
      <c r="I36" s="60"/>
      <c r="J36" s="60"/>
      <c r="K36" s="60"/>
      <c r="L36" s="60"/>
      <c r="M36" s="60"/>
      <c r="N36" s="60"/>
      <c r="O36" s="60"/>
      <c r="P36" s="60"/>
      <c r="Q36" s="60"/>
      <c r="R36" s="60"/>
      <c r="S36" s="60"/>
      <c r="T36" s="60"/>
      <c r="U36" s="61"/>
    </row>
    <row r="37" spans="2:21" ht="96.75" customHeight="1" thickBot="1" x14ac:dyDescent="0.25">
      <c r="B37" s="62" t="s">
        <v>230</v>
      </c>
      <c r="C37" s="63"/>
      <c r="D37" s="63"/>
      <c r="E37" s="63"/>
      <c r="F37" s="63"/>
      <c r="G37" s="63"/>
      <c r="H37" s="63"/>
      <c r="I37" s="63"/>
      <c r="J37" s="63"/>
      <c r="K37" s="63"/>
      <c r="L37" s="63"/>
      <c r="M37" s="63"/>
      <c r="N37" s="63"/>
      <c r="O37" s="63"/>
      <c r="P37" s="63"/>
      <c r="Q37" s="63"/>
      <c r="R37" s="63"/>
      <c r="S37" s="63"/>
      <c r="T37" s="63"/>
      <c r="U37" s="64"/>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231</v>
      </c>
      <c r="D4" s="99" t="s">
        <v>232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233</v>
      </c>
      <c r="Q6" s="80"/>
      <c r="R6" s="21"/>
      <c r="S6" s="20" t="s">
        <v>22</v>
      </c>
      <c r="T6" s="80" t="s">
        <v>234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235</v>
      </c>
      <c r="D11" s="73"/>
      <c r="E11" s="73"/>
      <c r="F11" s="73"/>
      <c r="G11" s="73"/>
      <c r="H11" s="73"/>
      <c r="I11" s="73" t="s">
        <v>236</v>
      </c>
      <c r="J11" s="73"/>
      <c r="K11" s="73"/>
      <c r="L11" s="73" t="s">
        <v>237</v>
      </c>
      <c r="M11" s="73"/>
      <c r="N11" s="73"/>
      <c r="O11" s="73"/>
      <c r="P11" s="27" t="s">
        <v>48</v>
      </c>
      <c r="Q11" s="27" t="s">
        <v>49</v>
      </c>
      <c r="R11" s="54">
        <v>80</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238</v>
      </c>
      <c r="J12" s="72"/>
      <c r="K12" s="72"/>
      <c r="L12" s="72" t="s">
        <v>239</v>
      </c>
      <c r="M12" s="72"/>
      <c r="N12" s="72"/>
      <c r="O12" s="72"/>
      <c r="P12" s="30" t="s">
        <v>48</v>
      </c>
      <c r="Q12" s="30" t="s">
        <v>75</v>
      </c>
      <c r="R12" s="30">
        <v>5.55</v>
      </c>
      <c r="S12" s="30">
        <v>1.76</v>
      </c>
      <c r="T12" s="30">
        <v>4.6900000000000004</v>
      </c>
      <c r="U12" s="32">
        <f>IF(ISERR(T12/S12*100),"N/A",T12/S12*100)</f>
        <v>266.47727272727275</v>
      </c>
    </row>
    <row r="13" spans="1:34" ht="75" customHeight="1" thickTop="1" thickBot="1" x14ac:dyDescent="0.25">
      <c r="A13" s="25"/>
      <c r="B13" s="26" t="s">
        <v>62</v>
      </c>
      <c r="C13" s="73" t="s">
        <v>240</v>
      </c>
      <c r="D13" s="73"/>
      <c r="E13" s="73"/>
      <c r="F13" s="73"/>
      <c r="G13" s="73"/>
      <c r="H13" s="73"/>
      <c r="I13" s="73" t="s">
        <v>241</v>
      </c>
      <c r="J13" s="73"/>
      <c r="K13" s="73"/>
      <c r="L13" s="73" t="s">
        <v>242</v>
      </c>
      <c r="M13" s="73"/>
      <c r="N13" s="73"/>
      <c r="O13" s="73"/>
      <c r="P13" s="27" t="s">
        <v>48</v>
      </c>
      <c r="Q13" s="27" t="s">
        <v>75</v>
      </c>
      <c r="R13" s="27">
        <v>18.850000000000001</v>
      </c>
      <c r="S13" s="27">
        <v>15.11</v>
      </c>
      <c r="T13" s="27">
        <v>18.75</v>
      </c>
      <c r="U13" s="28">
        <f>IF(ISERR(T13/S13*100),"N/A",T13/S13*100)</f>
        <v>124.0900066181337</v>
      </c>
    </row>
    <row r="14" spans="1:34" ht="75" customHeight="1" thickTop="1" x14ac:dyDescent="0.2">
      <c r="A14" s="25"/>
      <c r="B14" s="26" t="s">
        <v>71</v>
      </c>
      <c r="C14" s="73" t="s">
        <v>243</v>
      </c>
      <c r="D14" s="73"/>
      <c r="E14" s="73"/>
      <c r="F14" s="73"/>
      <c r="G14" s="73"/>
      <c r="H14" s="73"/>
      <c r="I14" s="73" t="s">
        <v>244</v>
      </c>
      <c r="J14" s="73"/>
      <c r="K14" s="73"/>
      <c r="L14" s="73" t="s">
        <v>245</v>
      </c>
      <c r="M14" s="73"/>
      <c r="N14" s="73"/>
      <c r="O14" s="73"/>
      <c r="P14" s="27" t="s">
        <v>246</v>
      </c>
      <c r="Q14" s="27" t="s">
        <v>75</v>
      </c>
      <c r="R14" s="27">
        <v>30</v>
      </c>
      <c r="S14" s="27">
        <v>30.19</v>
      </c>
      <c r="T14" s="27">
        <v>30.82</v>
      </c>
      <c r="U14" s="28">
        <f>IF(ISERR((S14-T14)*100/S14+100),"N/A",(S14-T14)*100/S14+100)</f>
        <v>97.913216296787013</v>
      </c>
    </row>
    <row r="15" spans="1:34" ht="75" customHeight="1" x14ac:dyDescent="0.2">
      <c r="A15" s="25"/>
      <c r="B15" s="29" t="s">
        <v>45</v>
      </c>
      <c r="C15" s="72" t="s">
        <v>45</v>
      </c>
      <c r="D15" s="72"/>
      <c r="E15" s="72"/>
      <c r="F15" s="72"/>
      <c r="G15" s="72"/>
      <c r="H15" s="72"/>
      <c r="I15" s="72" t="s">
        <v>247</v>
      </c>
      <c r="J15" s="72"/>
      <c r="K15" s="72"/>
      <c r="L15" s="72" t="s">
        <v>248</v>
      </c>
      <c r="M15" s="72"/>
      <c r="N15" s="72"/>
      <c r="O15" s="72"/>
      <c r="P15" s="30" t="s">
        <v>48</v>
      </c>
      <c r="Q15" s="30" t="s">
        <v>249</v>
      </c>
      <c r="R15" s="30">
        <v>93.97</v>
      </c>
      <c r="S15" s="30">
        <v>94.05</v>
      </c>
      <c r="T15" s="30">
        <v>93.66</v>
      </c>
      <c r="U15" s="32">
        <f>IF(ISERR(T15/S15*100),"N/A",T15/S15*100)</f>
        <v>99.585326953748009</v>
      </c>
    </row>
    <row r="16" spans="1:34" ht="75" customHeight="1" x14ac:dyDescent="0.2">
      <c r="A16" s="25"/>
      <c r="B16" s="29" t="s">
        <v>45</v>
      </c>
      <c r="C16" s="72" t="s">
        <v>250</v>
      </c>
      <c r="D16" s="72"/>
      <c r="E16" s="72"/>
      <c r="F16" s="72"/>
      <c r="G16" s="72"/>
      <c r="H16" s="72"/>
      <c r="I16" s="72" t="s">
        <v>251</v>
      </c>
      <c r="J16" s="72"/>
      <c r="K16" s="72"/>
      <c r="L16" s="72" t="s">
        <v>252</v>
      </c>
      <c r="M16" s="72"/>
      <c r="N16" s="72"/>
      <c r="O16" s="72"/>
      <c r="P16" s="30" t="s">
        <v>48</v>
      </c>
      <c r="Q16" s="30" t="s">
        <v>75</v>
      </c>
      <c r="R16" s="30">
        <v>10.78</v>
      </c>
      <c r="S16" s="30">
        <v>8.68</v>
      </c>
      <c r="T16" s="30">
        <v>10.44</v>
      </c>
      <c r="U16" s="32">
        <f>IF(ISERR(T16/S16*100),"N/A",T16/S16*100)</f>
        <v>120.27649769585254</v>
      </c>
    </row>
    <row r="17" spans="1:22" ht="75" customHeight="1" thickBot="1" x14ac:dyDescent="0.25">
      <c r="A17" s="25"/>
      <c r="B17" s="29" t="s">
        <v>45</v>
      </c>
      <c r="C17" s="72" t="s">
        <v>45</v>
      </c>
      <c r="D17" s="72"/>
      <c r="E17" s="72"/>
      <c r="F17" s="72"/>
      <c r="G17" s="72"/>
      <c r="H17" s="72"/>
      <c r="I17" s="72" t="s">
        <v>253</v>
      </c>
      <c r="J17" s="72"/>
      <c r="K17" s="72"/>
      <c r="L17" s="72" t="s">
        <v>254</v>
      </c>
      <c r="M17" s="72"/>
      <c r="N17" s="72"/>
      <c r="O17" s="72"/>
      <c r="P17" s="30" t="s">
        <v>48</v>
      </c>
      <c r="Q17" s="30" t="s">
        <v>75</v>
      </c>
      <c r="R17" s="30">
        <v>8.49</v>
      </c>
      <c r="S17" s="30">
        <v>7.83</v>
      </c>
      <c r="T17" s="30">
        <v>8.8699999999999992</v>
      </c>
      <c r="U17" s="32">
        <f>IF(ISERR(T17/S17*100),"N/A",T17/S17*100)</f>
        <v>113.28224776500637</v>
      </c>
    </row>
    <row r="18" spans="1:22" ht="75" customHeight="1" thickTop="1" x14ac:dyDescent="0.2">
      <c r="A18" s="25"/>
      <c r="B18" s="26" t="s">
        <v>87</v>
      </c>
      <c r="C18" s="73" t="s">
        <v>255</v>
      </c>
      <c r="D18" s="73"/>
      <c r="E18" s="73"/>
      <c r="F18" s="73"/>
      <c r="G18" s="73"/>
      <c r="H18" s="73"/>
      <c r="I18" s="73" t="s">
        <v>256</v>
      </c>
      <c r="J18" s="73"/>
      <c r="K18" s="73"/>
      <c r="L18" s="73" t="s">
        <v>257</v>
      </c>
      <c r="M18" s="73"/>
      <c r="N18" s="73"/>
      <c r="O18" s="73"/>
      <c r="P18" s="27" t="s">
        <v>48</v>
      </c>
      <c r="Q18" s="27" t="s">
        <v>258</v>
      </c>
      <c r="R18" s="27">
        <v>86.84</v>
      </c>
      <c r="S18" s="27">
        <v>85.77</v>
      </c>
      <c r="T18" s="27">
        <v>89.63</v>
      </c>
      <c r="U18" s="28">
        <f>IF(ISERR(T18/S18*100),"N/A",T18/S18*100)</f>
        <v>104.50040806808907</v>
      </c>
    </row>
    <row r="19" spans="1:22" ht="75" customHeight="1" thickBot="1" x14ac:dyDescent="0.25">
      <c r="A19" s="25"/>
      <c r="B19" s="29" t="s">
        <v>45</v>
      </c>
      <c r="C19" s="72" t="s">
        <v>259</v>
      </c>
      <c r="D19" s="72"/>
      <c r="E19" s="72"/>
      <c r="F19" s="72"/>
      <c r="G19" s="72"/>
      <c r="H19" s="72"/>
      <c r="I19" s="72" t="s">
        <v>260</v>
      </c>
      <c r="J19" s="72"/>
      <c r="K19" s="72"/>
      <c r="L19" s="72" t="s">
        <v>261</v>
      </c>
      <c r="M19" s="72"/>
      <c r="N19" s="72"/>
      <c r="O19" s="72"/>
      <c r="P19" s="30" t="s">
        <v>48</v>
      </c>
      <c r="Q19" s="30" t="s">
        <v>258</v>
      </c>
      <c r="R19" s="30">
        <v>90.5</v>
      </c>
      <c r="S19" s="30">
        <v>90</v>
      </c>
      <c r="T19" s="30">
        <v>91.01</v>
      </c>
      <c r="U19" s="32">
        <f>IF(ISERR(T19/S19*100),"N/A",T19/S19*100)</f>
        <v>101.12222222222222</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f>6122.728558</f>
        <v>6122.7285579999998</v>
      </c>
      <c r="S23" s="49">
        <f>4235.233341</f>
        <v>4235.2333410000001</v>
      </c>
      <c r="T23" s="49">
        <f>4041.29338728</f>
        <v>4041.2933872799999</v>
      </c>
      <c r="U23" s="50">
        <f>+IF(ISERR(T23/S23*100),"N/A",T23/S23*100)</f>
        <v>95.420796492072185</v>
      </c>
    </row>
    <row r="24" spans="1:22" ht="13.5" customHeight="1" thickBot="1" x14ac:dyDescent="0.25">
      <c r="B24" s="67" t="s">
        <v>106</v>
      </c>
      <c r="C24" s="68"/>
      <c r="D24" s="68"/>
      <c r="E24" s="51"/>
      <c r="F24" s="51"/>
      <c r="G24" s="51"/>
      <c r="H24" s="52"/>
      <c r="I24" s="52"/>
      <c r="J24" s="52"/>
      <c r="K24" s="52"/>
      <c r="L24" s="52"/>
      <c r="M24" s="52"/>
      <c r="N24" s="52"/>
      <c r="O24" s="52"/>
      <c r="P24" s="53"/>
      <c r="Q24" s="53"/>
      <c r="R24" s="49">
        <f>5786.661621</f>
        <v>5786.6616210000002</v>
      </c>
      <c r="S24" s="49">
        <f>4080.364864</f>
        <v>4080.3648640000001</v>
      </c>
      <c r="T24" s="49">
        <f>4041.29338728</f>
        <v>4041.2933872799999</v>
      </c>
      <c r="U24" s="50">
        <f>+IF(ISERR(T24/S24*100),"N/A",T24/S24*100)</f>
        <v>99.04245139779735</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262</v>
      </c>
      <c r="C27" s="60"/>
      <c r="D27" s="60"/>
      <c r="E27" s="60"/>
      <c r="F27" s="60"/>
      <c r="G27" s="60"/>
      <c r="H27" s="60"/>
      <c r="I27" s="60"/>
      <c r="J27" s="60"/>
      <c r="K27" s="60"/>
      <c r="L27" s="60"/>
      <c r="M27" s="60"/>
      <c r="N27" s="60"/>
      <c r="O27" s="60"/>
      <c r="P27" s="60"/>
      <c r="Q27" s="60"/>
      <c r="R27" s="60"/>
      <c r="S27" s="60"/>
      <c r="T27" s="60"/>
      <c r="U27" s="61"/>
    </row>
    <row r="28" spans="1:22" ht="73.349999999999994" customHeight="1" x14ac:dyDescent="0.2">
      <c r="B28" s="59" t="s">
        <v>263</v>
      </c>
      <c r="C28" s="60"/>
      <c r="D28" s="60"/>
      <c r="E28" s="60"/>
      <c r="F28" s="60"/>
      <c r="G28" s="60"/>
      <c r="H28" s="60"/>
      <c r="I28" s="60"/>
      <c r="J28" s="60"/>
      <c r="K28" s="60"/>
      <c r="L28" s="60"/>
      <c r="M28" s="60"/>
      <c r="N28" s="60"/>
      <c r="O28" s="60"/>
      <c r="P28" s="60"/>
      <c r="Q28" s="60"/>
      <c r="R28" s="60"/>
      <c r="S28" s="60"/>
      <c r="T28" s="60"/>
      <c r="U28" s="61"/>
    </row>
    <row r="29" spans="1:22" ht="60" customHeight="1" x14ac:dyDescent="0.2">
      <c r="B29" s="59" t="s">
        <v>264</v>
      </c>
      <c r="C29" s="60"/>
      <c r="D29" s="60"/>
      <c r="E29" s="60"/>
      <c r="F29" s="60"/>
      <c r="G29" s="60"/>
      <c r="H29" s="60"/>
      <c r="I29" s="60"/>
      <c r="J29" s="60"/>
      <c r="K29" s="60"/>
      <c r="L29" s="60"/>
      <c r="M29" s="60"/>
      <c r="N29" s="60"/>
      <c r="O29" s="60"/>
      <c r="P29" s="60"/>
      <c r="Q29" s="60"/>
      <c r="R29" s="60"/>
      <c r="S29" s="60"/>
      <c r="T29" s="60"/>
      <c r="U29" s="61"/>
    </row>
    <row r="30" spans="1:22" ht="59.25" customHeight="1" x14ac:dyDescent="0.2">
      <c r="B30" s="59" t="s">
        <v>265</v>
      </c>
      <c r="C30" s="60"/>
      <c r="D30" s="60"/>
      <c r="E30" s="60"/>
      <c r="F30" s="60"/>
      <c r="G30" s="60"/>
      <c r="H30" s="60"/>
      <c r="I30" s="60"/>
      <c r="J30" s="60"/>
      <c r="K30" s="60"/>
      <c r="L30" s="60"/>
      <c r="M30" s="60"/>
      <c r="N30" s="60"/>
      <c r="O30" s="60"/>
      <c r="P30" s="60"/>
      <c r="Q30" s="60"/>
      <c r="R30" s="60"/>
      <c r="S30" s="60"/>
      <c r="T30" s="60"/>
      <c r="U30" s="61"/>
    </row>
    <row r="31" spans="1:22" ht="121.5" customHeight="1" x14ac:dyDescent="0.2">
      <c r="B31" s="59" t="s">
        <v>266</v>
      </c>
      <c r="C31" s="60"/>
      <c r="D31" s="60"/>
      <c r="E31" s="60"/>
      <c r="F31" s="60"/>
      <c r="G31" s="60"/>
      <c r="H31" s="60"/>
      <c r="I31" s="60"/>
      <c r="J31" s="60"/>
      <c r="K31" s="60"/>
      <c r="L31" s="60"/>
      <c r="M31" s="60"/>
      <c r="N31" s="60"/>
      <c r="O31" s="60"/>
      <c r="P31" s="60"/>
      <c r="Q31" s="60"/>
      <c r="R31" s="60"/>
      <c r="S31" s="60"/>
      <c r="T31" s="60"/>
      <c r="U31" s="61"/>
    </row>
    <row r="32" spans="1:22" ht="63.6" customHeight="1" x14ac:dyDescent="0.2">
      <c r="B32" s="59" t="s">
        <v>267</v>
      </c>
      <c r="C32" s="60"/>
      <c r="D32" s="60"/>
      <c r="E32" s="60"/>
      <c r="F32" s="60"/>
      <c r="G32" s="60"/>
      <c r="H32" s="60"/>
      <c r="I32" s="60"/>
      <c r="J32" s="60"/>
      <c r="K32" s="60"/>
      <c r="L32" s="60"/>
      <c r="M32" s="60"/>
      <c r="N32" s="60"/>
      <c r="O32" s="60"/>
      <c r="P32" s="60"/>
      <c r="Q32" s="60"/>
      <c r="R32" s="60"/>
      <c r="S32" s="60"/>
      <c r="T32" s="60"/>
      <c r="U32" s="61"/>
    </row>
    <row r="33" spans="2:21" ht="101.45" customHeight="1" x14ac:dyDescent="0.2">
      <c r="B33" s="59" t="s">
        <v>268</v>
      </c>
      <c r="C33" s="60"/>
      <c r="D33" s="60"/>
      <c r="E33" s="60"/>
      <c r="F33" s="60"/>
      <c r="G33" s="60"/>
      <c r="H33" s="60"/>
      <c r="I33" s="60"/>
      <c r="J33" s="60"/>
      <c r="K33" s="60"/>
      <c r="L33" s="60"/>
      <c r="M33" s="60"/>
      <c r="N33" s="60"/>
      <c r="O33" s="60"/>
      <c r="P33" s="60"/>
      <c r="Q33" s="60"/>
      <c r="R33" s="60"/>
      <c r="S33" s="60"/>
      <c r="T33" s="60"/>
      <c r="U33" s="61"/>
    </row>
    <row r="34" spans="2:21" ht="59.85" customHeight="1" x14ac:dyDescent="0.2">
      <c r="B34" s="59" t="s">
        <v>269</v>
      </c>
      <c r="C34" s="60"/>
      <c r="D34" s="60"/>
      <c r="E34" s="60"/>
      <c r="F34" s="60"/>
      <c r="G34" s="60"/>
      <c r="H34" s="60"/>
      <c r="I34" s="60"/>
      <c r="J34" s="60"/>
      <c r="K34" s="60"/>
      <c r="L34" s="60"/>
      <c r="M34" s="60"/>
      <c r="N34" s="60"/>
      <c r="O34" s="60"/>
      <c r="P34" s="60"/>
      <c r="Q34" s="60"/>
      <c r="R34" s="60"/>
      <c r="S34" s="60"/>
      <c r="T34" s="60"/>
      <c r="U34" s="61"/>
    </row>
    <row r="35" spans="2:21" ht="72.95" customHeight="1" thickBot="1" x14ac:dyDescent="0.25">
      <c r="B35" s="62" t="s">
        <v>270</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271</v>
      </c>
      <c r="D4" s="99" t="s">
        <v>272</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274</v>
      </c>
      <c r="Q6" s="80"/>
      <c r="R6" s="21"/>
      <c r="S6" s="20" t="s">
        <v>22</v>
      </c>
      <c r="T6" s="80" t="s">
        <v>275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276</v>
      </c>
      <c r="D11" s="73"/>
      <c r="E11" s="73"/>
      <c r="F11" s="73"/>
      <c r="G11" s="73"/>
      <c r="H11" s="73"/>
      <c r="I11" s="73" t="s">
        <v>277</v>
      </c>
      <c r="J11" s="73"/>
      <c r="K11" s="73"/>
      <c r="L11" s="73" t="s">
        <v>278</v>
      </c>
      <c r="M11" s="73"/>
      <c r="N11" s="73"/>
      <c r="O11" s="73"/>
      <c r="P11" s="27" t="s">
        <v>48</v>
      </c>
      <c r="Q11" s="27" t="s">
        <v>43</v>
      </c>
      <c r="R11" s="27">
        <v>65.33</v>
      </c>
      <c r="S11" s="27" t="s">
        <v>44</v>
      </c>
      <c r="T11" s="27" t="s">
        <v>44</v>
      </c>
      <c r="U11" s="28" t="str">
        <f t="shared" ref="U11:U19" si="0">IF(ISERR(T11/S11*100),"N/A",T11/S11*100)</f>
        <v>N/A</v>
      </c>
    </row>
    <row r="12" spans="1:34" ht="75" customHeight="1" thickBot="1" x14ac:dyDescent="0.25">
      <c r="A12" s="25"/>
      <c r="B12" s="29" t="s">
        <v>45</v>
      </c>
      <c r="C12" s="72" t="s">
        <v>45</v>
      </c>
      <c r="D12" s="72"/>
      <c r="E12" s="72"/>
      <c r="F12" s="72"/>
      <c r="G12" s="72"/>
      <c r="H12" s="72"/>
      <c r="I12" s="72" t="s">
        <v>279</v>
      </c>
      <c r="J12" s="72"/>
      <c r="K12" s="72"/>
      <c r="L12" s="72" t="s">
        <v>280</v>
      </c>
      <c r="M12" s="72"/>
      <c r="N12" s="72"/>
      <c r="O12" s="72"/>
      <c r="P12" s="30" t="s">
        <v>135</v>
      </c>
      <c r="Q12" s="30" t="s">
        <v>43</v>
      </c>
      <c r="R12" s="30">
        <v>48</v>
      </c>
      <c r="S12" s="30" t="s">
        <v>44</v>
      </c>
      <c r="T12" s="30" t="s">
        <v>44</v>
      </c>
      <c r="U12" s="32" t="str">
        <f t="shared" si="0"/>
        <v>N/A</v>
      </c>
    </row>
    <row r="13" spans="1:34" ht="75" customHeight="1" thickTop="1" x14ac:dyDescent="0.2">
      <c r="A13" s="25"/>
      <c r="B13" s="26" t="s">
        <v>62</v>
      </c>
      <c r="C13" s="73" t="s">
        <v>281</v>
      </c>
      <c r="D13" s="73"/>
      <c r="E13" s="73"/>
      <c r="F13" s="73"/>
      <c r="G13" s="73"/>
      <c r="H13" s="73"/>
      <c r="I13" s="73" t="s">
        <v>282</v>
      </c>
      <c r="J13" s="73"/>
      <c r="K13" s="73"/>
      <c r="L13" s="73" t="s">
        <v>283</v>
      </c>
      <c r="M13" s="73"/>
      <c r="N13" s="73"/>
      <c r="O13" s="73"/>
      <c r="P13" s="27" t="s">
        <v>48</v>
      </c>
      <c r="Q13" s="27" t="s">
        <v>284</v>
      </c>
      <c r="R13" s="27">
        <v>1.85</v>
      </c>
      <c r="S13" s="27" t="s">
        <v>44</v>
      </c>
      <c r="T13" s="27" t="s">
        <v>44</v>
      </c>
      <c r="U13" s="28" t="str">
        <f t="shared" si="0"/>
        <v>N/A</v>
      </c>
    </row>
    <row r="14" spans="1:34" ht="75" customHeight="1" thickBot="1" x14ac:dyDescent="0.25">
      <c r="A14" s="25"/>
      <c r="B14" s="29" t="s">
        <v>45</v>
      </c>
      <c r="C14" s="72" t="s">
        <v>45</v>
      </c>
      <c r="D14" s="72"/>
      <c r="E14" s="72"/>
      <c r="F14" s="72"/>
      <c r="G14" s="72"/>
      <c r="H14" s="72"/>
      <c r="I14" s="72" t="s">
        <v>285</v>
      </c>
      <c r="J14" s="72"/>
      <c r="K14" s="72"/>
      <c r="L14" s="72" t="s">
        <v>286</v>
      </c>
      <c r="M14" s="72"/>
      <c r="N14" s="72"/>
      <c r="O14" s="72"/>
      <c r="P14" s="30" t="s">
        <v>287</v>
      </c>
      <c r="Q14" s="30" t="s">
        <v>43</v>
      </c>
      <c r="R14" s="30">
        <v>7.37</v>
      </c>
      <c r="S14" s="30" t="s">
        <v>44</v>
      </c>
      <c r="T14" s="30" t="s">
        <v>44</v>
      </c>
      <c r="U14" s="32" t="str">
        <f t="shared" si="0"/>
        <v>N/A</v>
      </c>
    </row>
    <row r="15" spans="1:34" ht="75" customHeight="1" thickTop="1" x14ac:dyDescent="0.2">
      <c r="A15" s="25"/>
      <c r="B15" s="26" t="s">
        <v>71</v>
      </c>
      <c r="C15" s="73" t="s">
        <v>288</v>
      </c>
      <c r="D15" s="73"/>
      <c r="E15" s="73"/>
      <c r="F15" s="73"/>
      <c r="G15" s="73"/>
      <c r="H15" s="73"/>
      <c r="I15" s="73" t="s">
        <v>289</v>
      </c>
      <c r="J15" s="73"/>
      <c r="K15" s="73"/>
      <c r="L15" s="73" t="s">
        <v>290</v>
      </c>
      <c r="M15" s="73"/>
      <c r="N15" s="73"/>
      <c r="O15" s="73"/>
      <c r="P15" s="27" t="s">
        <v>48</v>
      </c>
      <c r="Q15" s="27" t="s">
        <v>291</v>
      </c>
      <c r="R15" s="27">
        <v>66.010000000000005</v>
      </c>
      <c r="S15" s="27">
        <v>76.63</v>
      </c>
      <c r="T15" s="27">
        <v>80.31</v>
      </c>
      <c r="U15" s="28">
        <f t="shared" si="0"/>
        <v>104.80229675061987</v>
      </c>
    </row>
    <row r="16" spans="1:34" ht="75" customHeight="1" thickBot="1" x14ac:dyDescent="0.25">
      <c r="A16" s="25"/>
      <c r="B16" s="29" t="s">
        <v>45</v>
      </c>
      <c r="C16" s="72" t="s">
        <v>292</v>
      </c>
      <c r="D16" s="72"/>
      <c r="E16" s="72"/>
      <c r="F16" s="72"/>
      <c r="G16" s="72"/>
      <c r="H16" s="72"/>
      <c r="I16" s="72" t="s">
        <v>293</v>
      </c>
      <c r="J16" s="72"/>
      <c r="K16" s="72"/>
      <c r="L16" s="72" t="s">
        <v>294</v>
      </c>
      <c r="M16" s="72"/>
      <c r="N16" s="72"/>
      <c r="O16" s="72"/>
      <c r="P16" s="30" t="s">
        <v>48</v>
      </c>
      <c r="Q16" s="30" t="s">
        <v>291</v>
      </c>
      <c r="R16" s="30">
        <v>23.44</v>
      </c>
      <c r="S16" s="30">
        <v>23.25</v>
      </c>
      <c r="T16" s="30">
        <v>23.92</v>
      </c>
      <c r="U16" s="32">
        <f t="shared" si="0"/>
        <v>102.88172043010752</v>
      </c>
    </row>
    <row r="17" spans="1:22" ht="75" customHeight="1" thickTop="1" x14ac:dyDescent="0.2">
      <c r="A17" s="25"/>
      <c r="B17" s="26" t="s">
        <v>87</v>
      </c>
      <c r="C17" s="73" t="s">
        <v>295</v>
      </c>
      <c r="D17" s="73"/>
      <c r="E17" s="73"/>
      <c r="F17" s="73"/>
      <c r="G17" s="73"/>
      <c r="H17" s="73"/>
      <c r="I17" s="73" t="s">
        <v>296</v>
      </c>
      <c r="J17" s="73"/>
      <c r="K17" s="73"/>
      <c r="L17" s="73" t="s">
        <v>297</v>
      </c>
      <c r="M17" s="73"/>
      <c r="N17" s="73"/>
      <c r="O17" s="73"/>
      <c r="P17" s="27" t="s">
        <v>48</v>
      </c>
      <c r="Q17" s="27" t="s">
        <v>91</v>
      </c>
      <c r="R17" s="27">
        <v>92</v>
      </c>
      <c r="S17" s="27">
        <v>91</v>
      </c>
      <c r="T17" s="27">
        <v>93.68</v>
      </c>
      <c r="U17" s="28">
        <f t="shared" si="0"/>
        <v>102.94505494505495</v>
      </c>
    </row>
    <row r="18" spans="1:22" ht="75" customHeight="1" x14ac:dyDescent="0.2">
      <c r="A18" s="25"/>
      <c r="B18" s="29" t="s">
        <v>45</v>
      </c>
      <c r="C18" s="72" t="s">
        <v>298</v>
      </c>
      <c r="D18" s="72"/>
      <c r="E18" s="72"/>
      <c r="F18" s="72"/>
      <c r="G18" s="72"/>
      <c r="H18" s="72"/>
      <c r="I18" s="72" t="s">
        <v>299</v>
      </c>
      <c r="J18" s="72"/>
      <c r="K18" s="72"/>
      <c r="L18" s="72" t="s">
        <v>300</v>
      </c>
      <c r="M18" s="72"/>
      <c r="N18" s="72"/>
      <c r="O18" s="72"/>
      <c r="P18" s="30" t="s">
        <v>48</v>
      </c>
      <c r="Q18" s="30" t="s">
        <v>301</v>
      </c>
      <c r="R18" s="30">
        <v>95</v>
      </c>
      <c r="S18" s="30">
        <v>95</v>
      </c>
      <c r="T18" s="30">
        <v>98.3</v>
      </c>
      <c r="U18" s="32">
        <f t="shared" si="0"/>
        <v>103.47368421052632</v>
      </c>
    </row>
    <row r="19" spans="1:22" ht="75" customHeight="1" thickBot="1" x14ac:dyDescent="0.25">
      <c r="A19" s="25"/>
      <c r="B19" s="29" t="s">
        <v>45</v>
      </c>
      <c r="C19" s="72" t="s">
        <v>302</v>
      </c>
      <c r="D19" s="72"/>
      <c r="E19" s="72"/>
      <c r="F19" s="72"/>
      <c r="G19" s="72"/>
      <c r="H19" s="72"/>
      <c r="I19" s="72" t="s">
        <v>303</v>
      </c>
      <c r="J19" s="72"/>
      <c r="K19" s="72"/>
      <c r="L19" s="72" t="s">
        <v>304</v>
      </c>
      <c r="M19" s="72"/>
      <c r="N19" s="72"/>
      <c r="O19" s="72"/>
      <c r="P19" s="30" t="s">
        <v>48</v>
      </c>
      <c r="Q19" s="30" t="s">
        <v>291</v>
      </c>
      <c r="R19" s="30">
        <v>82.5</v>
      </c>
      <c r="S19" s="30">
        <v>80.75</v>
      </c>
      <c r="T19" s="30">
        <v>76.819999999999993</v>
      </c>
      <c r="U19" s="32">
        <f t="shared" si="0"/>
        <v>95.133126934984517</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f>11908.219972</f>
        <v>11908.219972000001</v>
      </c>
      <c r="S23" s="49">
        <f>8522.280307</f>
        <v>8522.2803070000009</v>
      </c>
      <c r="T23" s="49">
        <f>7887.26215806</f>
        <v>7887.2621580599998</v>
      </c>
      <c r="U23" s="50">
        <f>+IF(ISERR(T23/S23*100),"N/A",T23/S23*100)</f>
        <v>92.548729611505365</v>
      </c>
    </row>
    <row r="24" spans="1:22" ht="13.5" customHeight="1" thickBot="1" x14ac:dyDescent="0.25">
      <c r="B24" s="67" t="s">
        <v>106</v>
      </c>
      <c r="C24" s="68"/>
      <c r="D24" s="68"/>
      <c r="E24" s="51"/>
      <c r="F24" s="51"/>
      <c r="G24" s="51"/>
      <c r="H24" s="52"/>
      <c r="I24" s="52"/>
      <c r="J24" s="52"/>
      <c r="K24" s="52"/>
      <c r="L24" s="52"/>
      <c r="M24" s="52"/>
      <c r="N24" s="52"/>
      <c r="O24" s="52"/>
      <c r="P24" s="53"/>
      <c r="Q24" s="53"/>
      <c r="R24" s="49">
        <f>11139.371836</f>
        <v>11139.371836</v>
      </c>
      <c r="S24" s="49">
        <f>8065.540945</f>
        <v>8065.5409449999997</v>
      </c>
      <c r="T24" s="49">
        <f>7887.26215806</f>
        <v>7887.2621580599998</v>
      </c>
      <c r="U24" s="50">
        <f>+IF(ISERR(T24/S24*100),"N/A",T24/S24*100)</f>
        <v>97.789623930301673</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305</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306</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307</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308</v>
      </c>
      <c r="C30" s="60"/>
      <c r="D30" s="60"/>
      <c r="E30" s="60"/>
      <c r="F30" s="60"/>
      <c r="G30" s="60"/>
      <c r="H30" s="60"/>
      <c r="I30" s="60"/>
      <c r="J30" s="60"/>
      <c r="K30" s="60"/>
      <c r="L30" s="60"/>
      <c r="M30" s="60"/>
      <c r="N30" s="60"/>
      <c r="O30" s="60"/>
      <c r="P30" s="60"/>
      <c r="Q30" s="60"/>
      <c r="R30" s="60"/>
      <c r="S30" s="60"/>
      <c r="T30" s="60"/>
      <c r="U30" s="61"/>
    </row>
    <row r="31" spans="1:22" ht="78.2" customHeight="1" x14ac:dyDescent="0.2">
      <c r="B31" s="59" t="s">
        <v>309</v>
      </c>
      <c r="C31" s="60"/>
      <c r="D31" s="60"/>
      <c r="E31" s="60"/>
      <c r="F31" s="60"/>
      <c r="G31" s="60"/>
      <c r="H31" s="60"/>
      <c r="I31" s="60"/>
      <c r="J31" s="60"/>
      <c r="K31" s="60"/>
      <c r="L31" s="60"/>
      <c r="M31" s="60"/>
      <c r="N31" s="60"/>
      <c r="O31" s="60"/>
      <c r="P31" s="60"/>
      <c r="Q31" s="60"/>
      <c r="R31" s="60"/>
      <c r="S31" s="60"/>
      <c r="T31" s="60"/>
      <c r="U31" s="61"/>
    </row>
    <row r="32" spans="1:22" ht="58.35" customHeight="1" x14ac:dyDescent="0.2">
      <c r="B32" s="59" t="s">
        <v>310</v>
      </c>
      <c r="C32" s="60"/>
      <c r="D32" s="60"/>
      <c r="E32" s="60"/>
      <c r="F32" s="60"/>
      <c r="G32" s="60"/>
      <c r="H32" s="60"/>
      <c r="I32" s="60"/>
      <c r="J32" s="60"/>
      <c r="K32" s="60"/>
      <c r="L32" s="60"/>
      <c r="M32" s="60"/>
      <c r="N32" s="60"/>
      <c r="O32" s="60"/>
      <c r="P32" s="60"/>
      <c r="Q32" s="60"/>
      <c r="R32" s="60"/>
      <c r="S32" s="60"/>
      <c r="T32" s="60"/>
      <c r="U32" s="61"/>
    </row>
    <row r="33" spans="2:21" ht="41.1" customHeight="1" x14ac:dyDescent="0.2">
      <c r="B33" s="59" t="s">
        <v>311</v>
      </c>
      <c r="C33" s="60"/>
      <c r="D33" s="60"/>
      <c r="E33" s="60"/>
      <c r="F33" s="60"/>
      <c r="G33" s="60"/>
      <c r="H33" s="60"/>
      <c r="I33" s="60"/>
      <c r="J33" s="60"/>
      <c r="K33" s="60"/>
      <c r="L33" s="60"/>
      <c r="M33" s="60"/>
      <c r="N33" s="60"/>
      <c r="O33" s="60"/>
      <c r="P33" s="60"/>
      <c r="Q33" s="60"/>
      <c r="R33" s="60"/>
      <c r="S33" s="60"/>
      <c r="T33" s="60"/>
      <c r="U33" s="61"/>
    </row>
    <row r="34" spans="2:21" ht="41.45" customHeight="1" x14ac:dyDescent="0.2">
      <c r="B34" s="59" t="s">
        <v>312</v>
      </c>
      <c r="C34" s="60"/>
      <c r="D34" s="60"/>
      <c r="E34" s="60"/>
      <c r="F34" s="60"/>
      <c r="G34" s="60"/>
      <c r="H34" s="60"/>
      <c r="I34" s="60"/>
      <c r="J34" s="60"/>
      <c r="K34" s="60"/>
      <c r="L34" s="60"/>
      <c r="M34" s="60"/>
      <c r="N34" s="60"/>
      <c r="O34" s="60"/>
      <c r="P34" s="60"/>
      <c r="Q34" s="60"/>
      <c r="R34" s="60"/>
      <c r="S34" s="60"/>
      <c r="T34" s="60"/>
      <c r="U34" s="61"/>
    </row>
    <row r="35" spans="2:21" ht="64.7" customHeight="1" thickBot="1" x14ac:dyDescent="0.25">
      <c r="B35" s="62" t="s">
        <v>313</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314</v>
      </c>
      <c r="D4" s="99" t="s">
        <v>315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316</v>
      </c>
      <c r="D11" s="73"/>
      <c r="E11" s="73"/>
      <c r="F11" s="73"/>
      <c r="G11" s="73"/>
      <c r="H11" s="73"/>
      <c r="I11" s="73" t="s">
        <v>56</v>
      </c>
      <c r="J11" s="73"/>
      <c r="K11" s="73"/>
      <c r="L11" s="73" t="s">
        <v>317</v>
      </c>
      <c r="M11" s="73"/>
      <c r="N11" s="73"/>
      <c r="O11" s="73"/>
      <c r="P11" s="27" t="s">
        <v>132</v>
      </c>
      <c r="Q11" s="27" t="s">
        <v>43</v>
      </c>
      <c r="R11" s="54">
        <v>78.19</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318</v>
      </c>
      <c r="J12" s="72"/>
      <c r="K12" s="72"/>
      <c r="L12" s="72" t="s">
        <v>319</v>
      </c>
      <c r="M12" s="72"/>
      <c r="N12" s="72"/>
      <c r="O12" s="72"/>
      <c r="P12" s="30" t="s">
        <v>135</v>
      </c>
      <c r="Q12" s="30" t="s">
        <v>43</v>
      </c>
      <c r="R12" s="31">
        <v>16</v>
      </c>
      <c r="S12" s="31" t="s">
        <v>44</v>
      </c>
      <c r="T12" s="31" t="s">
        <v>44</v>
      </c>
      <c r="U12" s="32" t="str">
        <f>IF(ISERR((S12-T12)*100/S12+100),"N/A",(S12-T12)*100/S12+100)</f>
        <v>N/A</v>
      </c>
    </row>
    <row r="13" spans="1:34" ht="75" customHeight="1" thickTop="1" thickBot="1" x14ac:dyDescent="0.25">
      <c r="A13" s="25"/>
      <c r="B13" s="26" t="s">
        <v>62</v>
      </c>
      <c r="C13" s="73" t="s">
        <v>320</v>
      </c>
      <c r="D13" s="73"/>
      <c r="E13" s="73"/>
      <c r="F13" s="73"/>
      <c r="G13" s="73"/>
      <c r="H13" s="73"/>
      <c r="I13" s="73" t="s">
        <v>321</v>
      </c>
      <c r="J13" s="73"/>
      <c r="K13" s="73"/>
      <c r="L13" s="73" t="s">
        <v>322</v>
      </c>
      <c r="M13" s="73"/>
      <c r="N13" s="73"/>
      <c r="O13" s="73"/>
      <c r="P13" s="27" t="s">
        <v>323</v>
      </c>
      <c r="Q13" s="27" t="s">
        <v>43</v>
      </c>
      <c r="R13" s="54">
        <v>685.7</v>
      </c>
      <c r="S13" s="54" t="s">
        <v>44</v>
      </c>
      <c r="T13" s="54" t="s">
        <v>44</v>
      </c>
      <c r="U13" s="28" t="str">
        <f>IF(ISERR((S13-T13)*100/S13+100),"N/A",(S13-T13)*100/S13+100)</f>
        <v>N/A</v>
      </c>
    </row>
    <row r="14" spans="1:34" ht="75" customHeight="1" thickTop="1" x14ac:dyDescent="0.2">
      <c r="A14" s="25"/>
      <c r="B14" s="26" t="s">
        <v>71</v>
      </c>
      <c r="C14" s="73" t="s">
        <v>324</v>
      </c>
      <c r="D14" s="73"/>
      <c r="E14" s="73"/>
      <c r="F14" s="73"/>
      <c r="G14" s="73"/>
      <c r="H14" s="73"/>
      <c r="I14" s="73" t="s">
        <v>325</v>
      </c>
      <c r="J14" s="73"/>
      <c r="K14" s="73"/>
      <c r="L14" s="73" t="s">
        <v>326</v>
      </c>
      <c r="M14" s="73"/>
      <c r="N14" s="73"/>
      <c r="O14" s="73"/>
      <c r="P14" s="27" t="s">
        <v>48</v>
      </c>
      <c r="Q14" s="27" t="s">
        <v>139</v>
      </c>
      <c r="R14" s="27">
        <v>8.8000000000000007</v>
      </c>
      <c r="S14" s="27">
        <v>8.8000000000000007</v>
      </c>
      <c r="T14" s="27">
        <v>9.8000000000000007</v>
      </c>
      <c r="U14" s="28">
        <f>IF(ISERR((S14-T14)*100/S14+100),"N/A",(S14-T14)*100/S14+100)</f>
        <v>88.63636363636364</v>
      </c>
    </row>
    <row r="15" spans="1:34" ht="75" customHeight="1" x14ac:dyDescent="0.2">
      <c r="A15" s="25"/>
      <c r="B15" s="29" t="s">
        <v>45</v>
      </c>
      <c r="C15" s="72" t="s">
        <v>45</v>
      </c>
      <c r="D15" s="72"/>
      <c r="E15" s="72"/>
      <c r="F15" s="72"/>
      <c r="G15" s="72"/>
      <c r="H15" s="72"/>
      <c r="I15" s="72" t="s">
        <v>327</v>
      </c>
      <c r="J15" s="72"/>
      <c r="K15" s="72"/>
      <c r="L15" s="72" t="s">
        <v>328</v>
      </c>
      <c r="M15" s="72"/>
      <c r="N15" s="72"/>
      <c r="O15" s="72"/>
      <c r="P15" s="30" t="s">
        <v>48</v>
      </c>
      <c r="Q15" s="30" t="s">
        <v>329</v>
      </c>
      <c r="R15" s="30">
        <v>5</v>
      </c>
      <c r="S15" s="30">
        <v>5</v>
      </c>
      <c r="T15" s="30">
        <v>5.66</v>
      </c>
      <c r="U15" s="32">
        <f>IF(ISERR((S15-T15)*100/S15+100),"N/A",(S15-T15)*100/S15+100)</f>
        <v>86.8</v>
      </c>
    </row>
    <row r="16" spans="1:34" ht="75" customHeight="1" x14ac:dyDescent="0.2">
      <c r="A16" s="25"/>
      <c r="B16" s="29" t="s">
        <v>45</v>
      </c>
      <c r="C16" s="72" t="s">
        <v>330</v>
      </c>
      <c r="D16" s="72"/>
      <c r="E16" s="72"/>
      <c r="F16" s="72"/>
      <c r="G16" s="72"/>
      <c r="H16" s="72"/>
      <c r="I16" s="72" t="s">
        <v>331</v>
      </c>
      <c r="J16" s="72"/>
      <c r="K16" s="72"/>
      <c r="L16" s="72" t="s">
        <v>332</v>
      </c>
      <c r="M16" s="72"/>
      <c r="N16" s="72"/>
      <c r="O16" s="72"/>
      <c r="P16" s="30" t="s">
        <v>323</v>
      </c>
      <c r="Q16" s="30" t="s">
        <v>91</v>
      </c>
      <c r="R16" s="30">
        <v>7.4</v>
      </c>
      <c r="S16" s="30">
        <v>7.4</v>
      </c>
      <c r="T16" s="30">
        <v>7.71</v>
      </c>
      <c r="U16" s="32">
        <f>IF(ISERR((S16-T16)*100/S16+100),"N/A",(S16-T16)*100/S16+100)</f>
        <v>95.810810810810821</v>
      </c>
    </row>
    <row r="17" spans="1:22" ht="75" customHeight="1" x14ac:dyDescent="0.2">
      <c r="A17" s="25"/>
      <c r="B17" s="29" t="s">
        <v>45</v>
      </c>
      <c r="C17" s="72" t="s">
        <v>333</v>
      </c>
      <c r="D17" s="72"/>
      <c r="E17" s="72"/>
      <c r="F17" s="72"/>
      <c r="G17" s="72"/>
      <c r="H17" s="72"/>
      <c r="I17" s="72" t="s">
        <v>334</v>
      </c>
      <c r="J17" s="72"/>
      <c r="K17" s="72"/>
      <c r="L17" s="72" t="s">
        <v>335</v>
      </c>
      <c r="M17" s="72"/>
      <c r="N17" s="72"/>
      <c r="O17" s="72"/>
      <c r="P17" s="30" t="s">
        <v>336</v>
      </c>
      <c r="Q17" s="30" t="s">
        <v>139</v>
      </c>
      <c r="R17" s="30">
        <v>41</v>
      </c>
      <c r="S17" s="30">
        <v>41.2</v>
      </c>
      <c r="T17" s="30">
        <v>44.3</v>
      </c>
      <c r="U17" s="32">
        <f>IF(ISERR(T17/S17*100),"N/A",T17/S17*100)</f>
        <v>107.52427184466018</v>
      </c>
    </row>
    <row r="18" spans="1:22" ht="75" customHeight="1" x14ac:dyDescent="0.2">
      <c r="A18" s="25"/>
      <c r="B18" s="29" t="s">
        <v>45</v>
      </c>
      <c r="C18" s="72" t="s">
        <v>45</v>
      </c>
      <c r="D18" s="72"/>
      <c r="E18" s="72"/>
      <c r="F18" s="72"/>
      <c r="G18" s="72"/>
      <c r="H18" s="72"/>
      <c r="I18" s="72" t="s">
        <v>337</v>
      </c>
      <c r="J18" s="72"/>
      <c r="K18" s="72"/>
      <c r="L18" s="72" t="s">
        <v>338</v>
      </c>
      <c r="M18" s="72"/>
      <c r="N18" s="72"/>
      <c r="O18" s="72"/>
      <c r="P18" s="30" t="s">
        <v>336</v>
      </c>
      <c r="Q18" s="30" t="s">
        <v>139</v>
      </c>
      <c r="R18" s="30">
        <v>83.36</v>
      </c>
      <c r="S18" s="30">
        <v>83.95</v>
      </c>
      <c r="T18" s="30">
        <v>75.400000000000006</v>
      </c>
      <c r="U18" s="32">
        <f>IF(ISERR(T18/S18*100),"N/A",T18/S18*100)</f>
        <v>89.815366289458012</v>
      </c>
    </row>
    <row r="19" spans="1:22" ht="75" customHeight="1" x14ac:dyDescent="0.2">
      <c r="A19" s="25"/>
      <c r="B19" s="29" t="s">
        <v>45</v>
      </c>
      <c r="C19" s="72" t="s">
        <v>339</v>
      </c>
      <c r="D19" s="72"/>
      <c r="E19" s="72"/>
      <c r="F19" s="72"/>
      <c r="G19" s="72"/>
      <c r="H19" s="72"/>
      <c r="I19" s="72" t="s">
        <v>340</v>
      </c>
      <c r="J19" s="72"/>
      <c r="K19" s="72"/>
      <c r="L19" s="72" t="s">
        <v>341</v>
      </c>
      <c r="M19" s="72"/>
      <c r="N19" s="72"/>
      <c r="O19" s="72"/>
      <c r="P19" s="30" t="s">
        <v>342</v>
      </c>
      <c r="Q19" s="30" t="s">
        <v>343</v>
      </c>
      <c r="R19" s="30">
        <v>36.99</v>
      </c>
      <c r="S19" s="30">
        <v>31.33</v>
      </c>
      <c r="T19" s="30">
        <v>36.64</v>
      </c>
      <c r="U19" s="32">
        <f>IF(ISERR((S19-T19)*100/S19+100),"N/A",(S19-T19)*100/S19+100)</f>
        <v>83.051388445579306</v>
      </c>
    </row>
    <row r="20" spans="1:22" ht="75" customHeight="1" x14ac:dyDescent="0.2">
      <c r="A20" s="25"/>
      <c r="B20" s="29" t="s">
        <v>45</v>
      </c>
      <c r="C20" s="72" t="s">
        <v>344</v>
      </c>
      <c r="D20" s="72"/>
      <c r="E20" s="72"/>
      <c r="F20" s="72"/>
      <c r="G20" s="72"/>
      <c r="H20" s="72"/>
      <c r="I20" s="72" t="s">
        <v>345</v>
      </c>
      <c r="J20" s="72"/>
      <c r="K20" s="72"/>
      <c r="L20" s="72" t="s">
        <v>346</v>
      </c>
      <c r="M20" s="72"/>
      <c r="N20" s="72"/>
      <c r="O20" s="72"/>
      <c r="P20" s="30" t="s">
        <v>48</v>
      </c>
      <c r="Q20" s="30" t="s">
        <v>91</v>
      </c>
      <c r="R20" s="31">
        <v>91</v>
      </c>
      <c r="S20" s="31">
        <v>91</v>
      </c>
      <c r="T20" s="31">
        <v>93.79</v>
      </c>
      <c r="U20" s="32">
        <f t="shared" ref="U20:U30" si="0">IF(ISERR(T20/S20*100),"N/A",T20/S20*100)</f>
        <v>103.06593406593407</v>
      </c>
    </row>
    <row r="21" spans="1:22" ht="75" customHeight="1" thickBot="1" x14ac:dyDescent="0.25">
      <c r="A21" s="25"/>
      <c r="B21" s="29" t="s">
        <v>45</v>
      </c>
      <c r="C21" s="72" t="s">
        <v>45</v>
      </c>
      <c r="D21" s="72"/>
      <c r="E21" s="72"/>
      <c r="F21" s="72"/>
      <c r="G21" s="72"/>
      <c r="H21" s="72"/>
      <c r="I21" s="72" t="s">
        <v>347</v>
      </c>
      <c r="J21" s="72"/>
      <c r="K21" s="72"/>
      <c r="L21" s="72" t="s">
        <v>348</v>
      </c>
      <c r="M21" s="72"/>
      <c r="N21" s="72"/>
      <c r="O21" s="72"/>
      <c r="P21" s="30" t="s">
        <v>48</v>
      </c>
      <c r="Q21" s="30" t="s">
        <v>349</v>
      </c>
      <c r="R21" s="31">
        <v>93.5</v>
      </c>
      <c r="S21" s="31">
        <v>93.5</v>
      </c>
      <c r="T21" s="31">
        <v>76.7</v>
      </c>
      <c r="U21" s="32">
        <f t="shared" si="0"/>
        <v>82.032085561497325</v>
      </c>
    </row>
    <row r="22" spans="1:22" ht="75" customHeight="1" thickTop="1" x14ac:dyDescent="0.2">
      <c r="A22" s="25"/>
      <c r="B22" s="26" t="s">
        <v>87</v>
      </c>
      <c r="C22" s="73" t="s">
        <v>350</v>
      </c>
      <c r="D22" s="73"/>
      <c r="E22" s="73"/>
      <c r="F22" s="73"/>
      <c r="G22" s="73"/>
      <c r="H22" s="73"/>
      <c r="I22" s="73" t="s">
        <v>351</v>
      </c>
      <c r="J22" s="73"/>
      <c r="K22" s="73"/>
      <c r="L22" s="73" t="s">
        <v>352</v>
      </c>
      <c r="M22" s="73"/>
      <c r="N22" s="73"/>
      <c r="O22" s="73"/>
      <c r="P22" s="27" t="s">
        <v>353</v>
      </c>
      <c r="Q22" s="27" t="s">
        <v>91</v>
      </c>
      <c r="R22" s="27">
        <v>60</v>
      </c>
      <c r="S22" s="27">
        <v>60</v>
      </c>
      <c r="T22" s="27">
        <v>54</v>
      </c>
      <c r="U22" s="28">
        <f t="shared" si="0"/>
        <v>90</v>
      </c>
    </row>
    <row r="23" spans="1:22" ht="75" customHeight="1" x14ac:dyDescent="0.2">
      <c r="A23" s="25"/>
      <c r="B23" s="29" t="s">
        <v>45</v>
      </c>
      <c r="C23" s="72" t="s">
        <v>45</v>
      </c>
      <c r="D23" s="72"/>
      <c r="E23" s="72"/>
      <c r="F23" s="72"/>
      <c r="G23" s="72"/>
      <c r="H23" s="72"/>
      <c r="I23" s="72" t="s">
        <v>354</v>
      </c>
      <c r="J23" s="72"/>
      <c r="K23" s="72"/>
      <c r="L23" s="72" t="s">
        <v>355</v>
      </c>
      <c r="M23" s="72"/>
      <c r="N23" s="72"/>
      <c r="O23" s="72"/>
      <c r="P23" s="30" t="s">
        <v>353</v>
      </c>
      <c r="Q23" s="30" t="s">
        <v>91</v>
      </c>
      <c r="R23" s="30">
        <v>7</v>
      </c>
      <c r="S23" s="30">
        <v>7</v>
      </c>
      <c r="T23" s="30">
        <v>6.5</v>
      </c>
      <c r="U23" s="32">
        <f t="shared" si="0"/>
        <v>92.857142857142861</v>
      </c>
    </row>
    <row r="24" spans="1:22" ht="75" customHeight="1" x14ac:dyDescent="0.2">
      <c r="A24" s="25"/>
      <c r="B24" s="29" t="s">
        <v>45</v>
      </c>
      <c r="C24" s="72" t="s">
        <v>356</v>
      </c>
      <c r="D24" s="72"/>
      <c r="E24" s="72"/>
      <c r="F24" s="72"/>
      <c r="G24" s="72"/>
      <c r="H24" s="72"/>
      <c r="I24" s="72" t="s">
        <v>357</v>
      </c>
      <c r="J24" s="72"/>
      <c r="K24" s="72"/>
      <c r="L24" s="72" t="s">
        <v>358</v>
      </c>
      <c r="M24" s="72"/>
      <c r="N24" s="72"/>
      <c r="O24" s="72"/>
      <c r="P24" s="30" t="s">
        <v>48</v>
      </c>
      <c r="Q24" s="30" t="s">
        <v>91</v>
      </c>
      <c r="R24" s="30">
        <v>100</v>
      </c>
      <c r="S24" s="30">
        <v>100</v>
      </c>
      <c r="T24" s="30">
        <v>87.96</v>
      </c>
      <c r="U24" s="32">
        <f t="shared" si="0"/>
        <v>87.96</v>
      </c>
    </row>
    <row r="25" spans="1:22" ht="75" customHeight="1" x14ac:dyDescent="0.2">
      <c r="A25" s="25"/>
      <c r="B25" s="29" t="s">
        <v>45</v>
      </c>
      <c r="C25" s="72" t="s">
        <v>359</v>
      </c>
      <c r="D25" s="72"/>
      <c r="E25" s="72"/>
      <c r="F25" s="72"/>
      <c r="G25" s="72"/>
      <c r="H25" s="72"/>
      <c r="I25" s="72" t="s">
        <v>360</v>
      </c>
      <c r="J25" s="72"/>
      <c r="K25" s="72"/>
      <c r="L25" s="72" t="s">
        <v>361</v>
      </c>
      <c r="M25" s="72"/>
      <c r="N25" s="72"/>
      <c r="O25" s="72"/>
      <c r="P25" s="30" t="s">
        <v>336</v>
      </c>
      <c r="Q25" s="30" t="s">
        <v>91</v>
      </c>
      <c r="R25" s="31">
        <v>12966966</v>
      </c>
      <c r="S25" s="31">
        <v>3282978</v>
      </c>
      <c r="T25" s="31">
        <v>3909205</v>
      </c>
      <c r="U25" s="32">
        <f t="shared" si="0"/>
        <v>119.07496791023273</v>
      </c>
    </row>
    <row r="26" spans="1:22" ht="75" customHeight="1" x14ac:dyDescent="0.2">
      <c r="A26" s="25"/>
      <c r="B26" s="29" t="s">
        <v>45</v>
      </c>
      <c r="C26" s="72" t="s">
        <v>45</v>
      </c>
      <c r="D26" s="72"/>
      <c r="E26" s="72"/>
      <c r="F26" s="72"/>
      <c r="G26" s="72"/>
      <c r="H26" s="72"/>
      <c r="I26" s="72" t="s">
        <v>362</v>
      </c>
      <c r="J26" s="72"/>
      <c r="K26" s="72"/>
      <c r="L26" s="72" t="s">
        <v>363</v>
      </c>
      <c r="M26" s="72"/>
      <c r="N26" s="72"/>
      <c r="O26" s="72"/>
      <c r="P26" s="30" t="s">
        <v>336</v>
      </c>
      <c r="Q26" s="30" t="s">
        <v>91</v>
      </c>
      <c r="R26" s="31">
        <v>17201308</v>
      </c>
      <c r="S26" s="31">
        <v>4351714</v>
      </c>
      <c r="T26" s="31">
        <v>4661613</v>
      </c>
      <c r="U26" s="32">
        <f t="shared" si="0"/>
        <v>107.12130898308115</v>
      </c>
    </row>
    <row r="27" spans="1:22" ht="75" customHeight="1" x14ac:dyDescent="0.2">
      <c r="A27" s="25"/>
      <c r="B27" s="29" t="s">
        <v>45</v>
      </c>
      <c r="C27" s="72" t="s">
        <v>364</v>
      </c>
      <c r="D27" s="72"/>
      <c r="E27" s="72"/>
      <c r="F27" s="72"/>
      <c r="G27" s="72"/>
      <c r="H27" s="72"/>
      <c r="I27" s="72" t="s">
        <v>365</v>
      </c>
      <c r="J27" s="72"/>
      <c r="K27" s="72"/>
      <c r="L27" s="72" t="s">
        <v>366</v>
      </c>
      <c r="M27" s="72"/>
      <c r="N27" s="72"/>
      <c r="O27" s="72"/>
      <c r="P27" s="30" t="s">
        <v>367</v>
      </c>
      <c r="Q27" s="30" t="s">
        <v>91</v>
      </c>
      <c r="R27" s="30">
        <v>97.71</v>
      </c>
      <c r="S27" s="30">
        <v>97.8</v>
      </c>
      <c r="T27" s="30">
        <v>99.6</v>
      </c>
      <c r="U27" s="32">
        <f t="shared" si="0"/>
        <v>101.840490797546</v>
      </c>
    </row>
    <row r="28" spans="1:22" ht="75" customHeight="1" x14ac:dyDescent="0.2">
      <c r="A28" s="25"/>
      <c r="B28" s="29" t="s">
        <v>45</v>
      </c>
      <c r="C28" s="72" t="s">
        <v>368</v>
      </c>
      <c r="D28" s="72"/>
      <c r="E28" s="72"/>
      <c r="F28" s="72"/>
      <c r="G28" s="72"/>
      <c r="H28" s="72"/>
      <c r="I28" s="72" t="s">
        <v>369</v>
      </c>
      <c r="J28" s="72"/>
      <c r="K28" s="72"/>
      <c r="L28" s="72" t="s">
        <v>370</v>
      </c>
      <c r="M28" s="72"/>
      <c r="N28" s="72"/>
      <c r="O28" s="72"/>
      <c r="P28" s="30" t="s">
        <v>342</v>
      </c>
      <c r="Q28" s="30" t="s">
        <v>91</v>
      </c>
      <c r="R28" s="30">
        <v>144</v>
      </c>
      <c r="S28" s="30">
        <v>127.26</v>
      </c>
      <c r="T28" s="30">
        <v>91.89</v>
      </c>
      <c r="U28" s="32">
        <f t="shared" si="0"/>
        <v>72.206506364922205</v>
      </c>
    </row>
    <row r="29" spans="1:22" ht="75" customHeight="1" x14ac:dyDescent="0.2">
      <c r="A29" s="25"/>
      <c r="B29" s="29" t="s">
        <v>45</v>
      </c>
      <c r="C29" s="72" t="s">
        <v>371</v>
      </c>
      <c r="D29" s="72"/>
      <c r="E29" s="72"/>
      <c r="F29" s="72"/>
      <c r="G29" s="72"/>
      <c r="H29" s="72"/>
      <c r="I29" s="72" t="s">
        <v>372</v>
      </c>
      <c r="J29" s="72"/>
      <c r="K29" s="72"/>
      <c r="L29" s="72" t="s">
        <v>373</v>
      </c>
      <c r="M29" s="72"/>
      <c r="N29" s="72"/>
      <c r="O29" s="72"/>
      <c r="P29" s="30" t="s">
        <v>374</v>
      </c>
      <c r="Q29" s="30" t="s">
        <v>91</v>
      </c>
      <c r="R29" s="31">
        <v>172000</v>
      </c>
      <c r="S29" s="31">
        <v>43000</v>
      </c>
      <c r="T29" s="31">
        <v>15408</v>
      </c>
      <c r="U29" s="32">
        <f t="shared" si="0"/>
        <v>35.832558139534882</v>
      </c>
    </row>
    <row r="30" spans="1:22" ht="75" customHeight="1" thickBot="1" x14ac:dyDescent="0.25">
      <c r="A30" s="25"/>
      <c r="B30" s="29" t="s">
        <v>45</v>
      </c>
      <c r="C30" s="72" t="s">
        <v>45</v>
      </c>
      <c r="D30" s="72"/>
      <c r="E30" s="72"/>
      <c r="F30" s="72"/>
      <c r="G30" s="72"/>
      <c r="H30" s="72"/>
      <c r="I30" s="72" t="s">
        <v>375</v>
      </c>
      <c r="J30" s="72"/>
      <c r="K30" s="72"/>
      <c r="L30" s="72" t="s">
        <v>376</v>
      </c>
      <c r="M30" s="72"/>
      <c r="N30" s="72"/>
      <c r="O30" s="72"/>
      <c r="P30" s="30" t="s">
        <v>353</v>
      </c>
      <c r="Q30" s="30" t="s">
        <v>91</v>
      </c>
      <c r="R30" s="31">
        <v>733200</v>
      </c>
      <c r="S30" s="31">
        <v>183300</v>
      </c>
      <c r="T30" s="31">
        <v>80805</v>
      </c>
      <c r="U30" s="32">
        <f t="shared" si="0"/>
        <v>44.083469721767592</v>
      </c>
    </row>
    <row r="31" spans="1:22" ht="22.5" customHeight="1" thickTop="1" thickBot="1" x14ac:dyDescent="0.25">
      <c r="B31" s="8" t="s">
        <v>98</v>
      </c>
      <c r="C31" s="9"/>
      <c r="D31" s="9"/>
      <c r="E31" s="9"/>
      <c r="F31" s="9"/>
      <c r="G31" s="9"/>
      <c r="H31" s="10"/>
      <c r="I31" s="10"/>
      <c r="J31" s="10"/>
      <c r="K31" s="10"/>
      <c r="L31" s="10"/>
      <c r="M31" s="10"/>
      <c r="N31" s="10"/>
      <c r="O31" s="10"/>
      <c r="P31" s="10"/>
      <c r="Q31" s="10"/>
      <c r="R31" s="10"/>
      <c r="S31" s="10"/>
      <c r="T31" s="10"/>
      <c r="U31" s="11"/>
      <c r="V31" s="33"/>
    </row>
    <row r="32" spans="1:22" ht="26.25" customHeight="1" thickTop="1" x14ac:dyDescent="0.2">
      <c r="B32" s="34"/>
      <c r="C32" s="35"/>
      <c r="D32" s="35"/>
      <c r="E32" s="35"/>
      <c r="F32" s="35"/>
      <c r="G32" s="35"/>
      <c r="H32" s="36"/>
      <c r="I32" s="36"/>
      <c r="J32" s="36"/>
      <c r="K32" s="36"/>
      <c r="L32" s="36"/>
      <c r="M32" s="36"/>
      <c r="N32" s="36"/>
      <c r="O32" s="36"/>
      <c r="P32" s="37"/>
      <c r="Q32" s="38"/>
      <c r="R32" s="39" t="s">
        <v>99</v>
      </c>
      <c r="S32" s="22" t="s">
        <v>100</v>
      </c>
      <c r="T32" s="39" t="s">
        <v>101</v>
      </c>
      <c r="U32" s="22" t="s">
        <v>102</v>
      </c>
    </row>
    <row r="33" spans="2:21" ht="26.25" customHeight="1" thickBot="1" x14ac:dyDescent="0.25">
      <c r="B33" s="40"/>
      <c r="C33" s="41"/>
      <c r="D33" s="41"/>
      <c r="E33" s="41"/>
      <c r="F33" s="41"/>
      <c r="G33" s="41"/>
      <c r="H33" s="42"/>
      <c r="I33" s="42"/>
      <c r="J33" s="42"/>
      <c r="K33" s="42"/>
      <c r="L33" s="42"/>
      <c r="M33" s="42"/>
      <c r="N33" s="42"/>
      <c r="O33" s="42"/>
      <c r="P33" s="43"/>
      <c r="Q33" s="44"/>
      <c r="R33" s="45" t="s">
        <v>103</v>
      </c>
      <c r="S33" s="44" t="s">
        <v>103</v>
      </c>
      <c r="T33" s="44" t="s">
        <v>103</v>
      </c>
      <c r="U33" s="44" t="s">
        <v>104</v>
      </c>
    </row>
    <row r="34" spans="2:21" ht="13.5" customHeight="1" thickBot="1" x14ac:dyDescent="0.25">
      <c r="B34" s="65" t="s">
        <v>105</v>
      </c>
      <c r="C34" s="66"/>
      <c r="D34" s="66"/>
      <c r="E34" s="46"/>
      <c r="F34" s="46"/>
      <c r="G34" s="46"/>
      <c r="H34" s="47"/>
      <c r="I34" s="47"/>
      <c r="J34" s="47"/>
      <c r="K34" s="47"/>
      <c r="L34" s="47"/>
      <c r="M34" s="47"/>
      <c r="N34" s="47"/>
      <c r="O34" s="47"/>
      <c r="P34" s="48"/>
      <c r="Q34" s="48"/>
      <c r="R34" s="49">
        <f>202644.978661</f>
        <v>202644.978661</v>
      </c>
      <c r="S34" s="49">
        <f>133933.961442</f>
        <v>133933.961442</v>
      </c>
      <c r="T34" s="49">
        <f>137161.8355297</f>
        <v>137161.83552970001</v>
      </c>
      <c r="U34" s="50">
        <f>+IF(ISERR(T34/S34*100),"N/A",T34/S34*100)</f>
        <v>102.410048992016</v>
      </c>
    </row>
    <row r="35" spans="2:21" ht="13.5" customHeight="1" thickBot="1" x14ac:dyDescent="0.25">
      <c r="B35" s="67" t="s">
        <v>106</v>
      </c>
      <c r="C35" s="68"/>
      <c r="D35" s="68"/>
      <c r="E35" s="51"/>
      <c r="F35" s="51"/>
      <c r="G35" s="51"/>
      <c r="H35" s="52"/>
      <c r="I35" s="52"/>
      <c r="J35" s="52"/>
      <c r="K35" s="52"/>
      <c r="L35" s="52"/>
      <c r="M35" s="52"/>
      <c r="N35" s="52"/>
      <c r="O35" s="52"/>
      <c r="P35" s="53"/>
      <c r="Q35" s="53"/>
      <c r="R35" s="49">
        <f>209791.54844832</f>
        <v>209791.54844832001</v>
      </c>
      <c r="S35" s="49">
        <f>138903.21757032</f>
        <v>138903.21757032</v>
      </c>
      <c r="T35" s="49">
        <f>137161.8355297</f>
        <v>137161.83552970001</v>
      </c>
      <c r="U35" s="50">
        <f>+IF(ISERR(T35/S35*100),"N/A",T35/S35*100)</f>
        <v>98.746334267067354</v>
      </c>
    </row>
    <row r="36" spans="2:21" ht="14.85" customHeight="1" thickTop="1" thickBot="1" x14ac:dyDescent="0.25">
      <c r="B36" s="8" t="s">
        <v>107</v>
      </c>
      <c r="C36" s="9"/>
      <c r="D36" s="9"/>
      <c r="E36" s="9"/>
      <c r="F36" s="9"/>
      <c r="G36" s="9"/>
      <c r="H36" s="10"/>
      <c r="I36" s="10"/>
      <c r="J36" s="10"/>
      <c r="K36" s="10"/>
      <c r="L36" s="10"/>
      <c r="M36" s="10"/>
      <c r="N36" s="10"/>
      <c r="O36" s="10"/>
      <c r="P36" s="10"/>
      <c r="Q36" s="10"/>
      <c r="R36" s="10"/>
      <c r="S36" s="10"/>
      <c r="T36" s="10"/>
      <c r="U36" s="11"/>
    </row>
    <row r="37" spans="2:21" ht="44.25" customHeight="1" thickTop="1" x14ac:dyDescent="0.2">
      <c r="B37" s="69" t="s">
        <v>108</v>
      </c>
      <c r="C37" s="70"/>
      <c r="D37" s="70"/>
      <c r="E37" s="70"/>
      <c r="F37" s="70"/>
      <c r="G37" s="70"/>
      <c r="H37" s="70"/>
      <c r="I37" s="70"/>
      <c r="J37" s="70"/>
      <c r="K37" s="70"/>
      <c r="L37" s="70"/>
      <c r="M37" s="70"/>
      <c r="N37" s="70"/>
      <c r="O37" s="70"/>
      <c r="P37" s="70"/>
      <c r="Q37" s="70"/>
      <c r="R37" s="70"/>
      <c r="S37" s="70"/>
      <c r="T37" s="70"/>
      <c r="U37" s="71"/>
    </row>
    <row r="38" spans="2:21" ht="34.5" customHeight="1" x14ac:dyDescent="0.2">
      <c r="B38" s="59" t="s">
        <v>114</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377</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378</v>
      </c>
      <c r="C40" s="60"/>
      <c r="D40" s="60"/>
      <c r="E40" s="60"/>
      <c r="F40" s="60"/>
      <c r="G40" s="60"/>
      <c r="H40" s="60"/>
      <c r="I40" s="60"/>
      <c r="J40" s="60"/>
      <c r="K40" s="60"/>
      <c r="L40" s="60"/>
      <c r="M40" s="60"/>
      <c r="N40" s="60"/>
      <c r="O40" s="60"/>
      <c r="P40" s="60"/>
      <c r="Q40" s="60"/>
      <c r="R40" s="60"/>
      <c r="S40" s="60"/>
      <c r="T40" s="60"/>
      <c r="U40" s="61"/>
    </row>
    <row r="41" spans="2:21" ht="138.6" customHeight="1" x14ac:dyDescent="0.2">
      <c r="B41" s="59" t="s">
        <v>379</v>
      </c>
      <c r="C41" s="60"/>
      <c r="D41" s="60"/>
      <c r="E41" s="60"/>
      <c r="F41" s="60"/>
      <c r="G41" s="60"/>
      <c r="H41" s="60"/>
      <c r="I41" s="60"/>
      <c r="J41" s="60"/>
      <c r="K41" s="60"/>
      <c r="L41" s="60"/>
      <c r="M41" s="60"/>
      <c r="N41" s="60"/>
      <c r="O41" s="60"/>
      <c r="P41" s="60"/>
      <c r="Q41" s="60"/>
      <c r="R41" s="60"/>
      <c r="S41" s="60"/>
      <c r="T41" s="60"/>
      <c r="U41" s="61"/>
    </row>
    <row r="42" spans="2:21" ht="93.2" customHeight="1" x14ac:dyDescent="0.2">
      <c r="B42" s="59" t="s">
        <v>380</v>
      </c>
      <c r="C42" s="60"/>
      <c r="D42" s="60"/>
      <c r="E42" s="60"/>
      <c r="F42" s="60"/>
      <c r="G42" s="60"/>
      <c r="H42" s="60"/>
      <c r="I42" s="60"/>
      <c r="J42" s="60"/>
      <c r="K42" s="60"/>
      <c r="L42" s="60"/>
      <c r="M42" s="60"/>
      <c r="N42" s="60"/>
      <c r="O42" s="60"/>
      <c r="P42" s="60"/>
      <c r="Q42" s="60"/>
      <c r="R42" s="60"/>
      <c r="S42" s="60"/>
      <c r="T42" s="60"/>
      <c r="U42" s="61"/>
    </row>
    <row r="43" spans="2:21" ht="70.349999999999994" customHeight="1" x14ac:dyDescent="0.2">
      <c r="B43" s="59" t="s">
        <v>381</v>
      </c>
      <c r="C43" s="60"/>
      <c r="D43" s="60"/>
      <c r="E43" s="60"/>
      <c r="F43" s="60"/>
      <c r="G43" s="60"/>
      <c r="H43" s="60"/>
      <c r="I43" s="60"/>
      <c r="J43" s="60"/>
      <c r="K43" s="60"/>
      <c r="L43" s="60"/>
      <c r="M43" s="60"/>
      <c r="N43" s="60"/>
      <c r="O43" s="60"/>
      <c r="P43" s="60"/>
      <c r="Q43" s="60"/>
      <c r="R43" s="60"/>
      <c r="S43" s="60"/>
      <c r="T43" s="60"/>
      <c r="U43" s="61"/>
    </row>
    <row r="44" spans="2:21" ht="68.849999999999994" customHeight="1" x14ac:dyDescent="0.2">
      <c r="B44" s="59" t="s">
        <v>382</v>
      </c>
      <c r="C44" s="60"/>
      <c r="D44" s="60"/>
      <c r="E44" s="60"/>
      <c r="F44" s="60"/>
      <c r="G44" s="60"/>
      <c r="H44" s="60"/>
      <c r="I44" s="60"/>
      <c r="J44" s="60"/>
      <c r="K44" s="60"/>
      <c r="L44" s="60"/>
      <c r="M44" s="60"/>
      <c r="N44" s="60"/>
      <c r="O44" s="60"/>
      <c r="P44" s="60"/>
      <c r="Q44" s="60"/>
      <c r="R44" s="60"/>
      <c r="S44" s="60"/>
      <c r="T44" s="60"/>
      <c r="U44" s="61"/>
    </row>
    <row r="45" spans="2:21" ht="73.7" customHeight="1" x14ac:dyDescent="0.2">
      <c r="B45" s="59" t="s">
        <v>383</v>
      </c>
      <c r="C45" s="60"/>
      <c r="D45" s="60"/>
      <c r="E45" s="60"/>
      <c r="F45" s="60"/>
      <c r="G45" s="60"/>
      <c r="H45" s="60"/>
      <c r="I45" s="60"/>
      <c r="J45" s="60"/>
      <c r="K45" s="60"/>
      <c r="L45" s="60"/>
      <c r="M45" s="60"/>
      <c r="N45" s="60"/>
      <c r="O45" s="60"/>
      <c r="P45" s="60"/>
      <c r="Q45" s="60"/>
      <c r="R45" s="60"/>
      <c r="S45" s="60"/>
      <c r="T45" s="60"/>
      <c r="U45" s="61"/>
    </row>
    <row r="46" spans="2:21" ht="106.7" customHeight="1" x14ac:dyDescent="0.2">
      <c r="B46" s="59" t="s">
        <v>384</v>
      </c>
      <c r="C46" s="60"/>
      <c r="D46" s="60"/>
      <c r="E46" s="60"/>
      <c r="F46" s="60"/>
      <c r="G46" s="60"/>
      <c r="H46" s="60"/>
      <c r="I46" s="60"/>
      <c r="J46" s="60"/>
      <c r="K46" s="60"/>
      <c r="L46" s="60"/>
      <c r="M46" s="60"/>
      <c r="N46" s="60"/>
      <c r="O46" s="60"/>
      <c r="P46" s="60"/>
      <c r="Q46" s="60"/>
      <c r="R46" s="60"/>
      <c r="S46" s="60"/>
      <c r="T46" s="60"/>
      <c r="U46" s="61"/>
    </row>
    <row r="47" spans="2:21" ht="68.849999999999994" customHeight="1" x14ac:dyDescent="0.2">
      <c r="B47" s="59" t="s">
        <v>385</v>
      </c>
      <c r="C47" s="60"/>
      <c r="D47" s="60"/>
      <c r="E47" s="60"/>
      <c r="F47" s="60"/>
      <c r="G47" s="60"/>
      <c r="H47" s="60"/>
      <c r="I47" s="60"/>
      <c r="J47" s="60"/>
      <c r="K47" s="60"/>
      <c r="L47" s="60"/>
      <c r="M47" s="60"/>
      <c r="N47" s="60"/>
      <c r="O47" s="60"/>
      <c r="P47" s="60"/>
      <c r="Q47" s="60"/>
      <c r="R47" s="60"/>
      <c r="S47" s="60"/>
      <c r="T47" s="60"/>
      <c r="U47" s="61"/>
    </row>
    <row r="48" spans="2:21" ht="69.2" customHeight="1" x14ac:dyDescent="0.2">
      <c r="B48" s="59" t="s">
        <v>386</v>
      </c>
      <c r="C48" s="60"/>
      <c r="D48" s="60"/>
      <c r="E48" s="60"/>
      <c r="F48" s="60"/>
      <c r="G48" s="60"/>
      <c r="H48" s="60"/>
      <c r="I48" s="60"/>
      <c r="J48" s="60"/>
      <c r="K48" s="60"/>
      <c r="L48" s="60"/>
      <c r="M48" s="60"/>
      <c r="N48" s="60"/>
      <c r="O48" s="60"/>
      <c r="P48" s="60"/>
      <c r="Q48" s="60"/>
      <c r="R48" s="60"/>
      <c r="S48" s="60"/>
      <c r="T48" s="60"/>
      <c r="U48" s="61"/>
    </row>
    <row r="49" spans="2:21" ht="53.1" customHeight="1" x14ac:dyDescent="0.2">
      <c r="B49" s="59" t="s">
        <v>387</v>
      </c>
      <c r="C49" s="60"/>
      <c r="D49" s="60"/>
      <c r="E49" s="60"/>
      <c r="F49" s="60"/>
      <c r="G49" s="60"/>
      <c r="H49" s="60"/>
      <c r="I49" s="60"/>
      <c r="J49" s="60"/>
      <c r="K49" s="60"/>
      <c r="L49" s="60"/>
      <c r="M49" s="60"/>
      <c r="N49" s="60"/>
      <c r="O49" s="60"/>
      <c r="P49" s="60"/>
      <c r="Q49" s="60"/>
      <c r="R49" s="60"/>
      <c r="S49" s="60"/>
      <c r="T49" s="60"/>
      <c r="U49" s="61"/>
    </row>
    <row r="50" spans="2:21" ht="58.5" customHeight="1" x14ac:dyDescent="0.2">
      <c r="B50" s="59" t="s">
        <v>388</v>
      </c>
      <c r="C50" s="60"/>
      <c r="D50" s="60"/>
      <c r="E50" s="60"/>
      <c r="F50" s="60"/>
      <c r="G50" s="60"/>
      <c r="H50" s="60"/>
      <c r="I50" s="60"/>
      <c r="J50" s="60"/>
      <c r="K50" s="60"/>
      <c r="L50" s="60"/>
      <c r="M50" s="60"/>
      <c r="N50" s="60"/>
      <c r="O50" s="60"/>
      <c r="P50" s="60"/>
      <c r="Q50" s="60"/>
      <c r="R50" s="60"/>
      <c r="S50" s="60"/>
      <c r="T50" s="60"/>
      <c r="U50" s="61"/>
    </row>
    <row r="51" spans="2:21" ht="77.25" customHeight="1" x14ac:dyDescent="0.2">
      <c r="B51" s="59" t="s">
        <v>389</v>
      </c>
      <c r="C51" s="60"/>
      <c r="D51" s="60"/>
      <c r="E51" s="60"/>
      <c r="F51" s="60"/>
      <c r="G51" s="60"/>
      <c r="H51" s="60"/>
      <c r="I51" s="60"/>
      <c r="J51" s="60"/>
      <c r="K51" s="60"/>
      <c r="L51" s="60"/>
      <c r="M51" s="60"/>
      <c r="N51" s="60"/>
      <c r="O51" s="60"/>
      <c r="P51" s="60"/>
      <c r="Q51" s="60"/>
      <c r="R51" s="60"/>
      <c r="S51" s="60"/>
      <c r="T51" s="60"/>
      <c r="U51" s="61"/>
    </row>
    <row r="52" spans="2:21" ht="47.25" customHeight="1" x14ac:dyDescent="0.2">
      <c r="B52" s="59" t="s">
        <v>390</v>
      </c>
      <c r="C52" s="60"/>
      <c r="D52" s="60"/>
      <c r="E52" s="60"/>
      <c r="F52" s="60"/>
      <c r="G52" s="60"/>
      <c r="H52" s="60"/>
      <c r="I52" s="60"/>
      <c r="J52" s="60"/>
      <c r="K52" s="60"/>
      <c r="L52" s="60"/>
      <c r="M52" s="60"/>
      <c r="N52" s="60"/>
      <c r="O52" s="60"/>
      <c r="P52" s="60"/>
      <c r="Q52" s="60"/>
      <c r="R52" s="60"/>
      <c r="S52" s="60"/>
      <c r="T52" s="60"/>
      <c r="U52" s="61"/>
    </row>
    <row r="53" spans="2:21" ht="48" customHeight="1" x14ac:dyDescent="0.2">
      <c r="B53" s="59" t="s">
        <v>391</v>
      </c>
      <c r="C53" s="60"/>
      <c r="D53" s="60"/>
      <c r="E53" s="60"/>
      <c r="F53" s="60"/>
      <c r="G53" s="60"/>
      <c r="H53" s="60"/>
      <c r="I53" s="60"/>
      <c r="J53" s="60"/>
      <c r="K53" s="60"/>
      <c r="L53" s="60"/>
      <c r="M53" s="60"/>
      <c r="N53" s="60"/>
      <c r="O53" s="60"/>
      <c r="P53" s="60"/>
      <c r="Q53" s="60"/>
      <c r="R53" s="60"/>
      <c r="S53" s="60"/>
      <c r="T53" s="60"/>
      <c r="U53" s="61"/>
    </row>
    <row r="54" spans="2:21" ht="224.85" customHeight="1" x14ac:dyDescent="0.2">
      <c r="B54" s="59" t="s">
        <v>392</v>
      </c>
      <c r="C54" s="60"/>
      <c r="D54" s="60"/>
      <c r="E54" s="60"/>
      <c r="F54" s="60"/>
      <c r="G54" s="60"/>
      <c r="H54" s="60"/>
      <c r="I54" s="60"/>
      <c r="J54" s="60"/>
      <c r="K54" s="60"/>
      <c r="L54" s="60"/>
      <c r="M54" s="60"/>
      <c r="N54" s="60"/>
      <c r="O54" s="60"/>
      <c r="P54" s="60"/>
      <c r="Q54" s="60"/>
      <c r="R54" s="60"/>
      <c r="S54" s="60"/>
      <c r="T54" s="60"/>
      <c r="U54" s="61"/>
    </row>
    <row r="55" spans="2:21" ht="63.6" customHeight="1" x14ac:dyDescent="0.2">
      <c r="B55" s="59" t="s">
        <v>393</v>
      </c>
      <c r="C55" s="60"/>
      <c r="D55" s="60"/>
      <c r="E55" s="60"/>
      <c r="F55" s="60"/>
      <c r="G55" s="60"/>
      <c r="H55" s="60"/>
      <c r="I55" s="60"/>
      <c r="J55" s="60"/>
      <c r="K55" s="60"/>
      <c r="L55" s="60"/>
      <c r="M55" s="60"/>
      <c r="N55" s="60"/>
      <c r="O55" s="60"/>
      <c r="P55" s="60"/>
      <c r="Q55" s="60"/>
      <c r="R55" s="60"/>
      <c r="S55" s="60"/>
      <c r="T55" s="60"/>
      <c r="U55" s="61"/>
    </row>
    <row r="56" spans="2:21" ht="52.7" customHeight="1" x14ac:dyDescent="0.2">
      <c r="B56" s="59" t="s">
        <v>394</v>
      </c>
      <c r="C56" s="60"/>
      <c r="D56" s="60"/>
      <c r="E56" s="60"/>
      <c r="F56" s="60"/>
      <c r="G56" s="60"/>
      <c r="H56" s="60"/>
      <c r="I56" s="60"/>
      <c r="J56" s="60"/>
      <c r="K56" s="60"/>
      <c r="L56" s="60"/>
      <c r="M56" s="60"/>
      <c r="N56" s="60"/>
      <c r="O56" s="60"/>
      <c r="P56" s="60"/>
      <c r="Q56" s="60"/>
      <c r="R56" s="60"/>
      <c r="S56" s="60"/>
      <c r="T56" s="60"/>
      <c r="U56" s="61"/>
    </row>
    <row r="57" spans="2:21" ht="66.75" customHeight="1" thickBot="1" x14ac:dyDescent="0.25">
      <c r="B57" s="62" t="s">
        <v>395</v>
      </c>
      <c r="C57" s="63"/>
      <c r="D57" s="63"/>
      <c r="E57" s="63"/>
      <c r="F57" s="63"/>
      <c r="G57" s="63"/>
      <c r="H57" s="63"/>
      <c r="I57" s="63"/>
      <c r="J57" s="63"/>
      <c r="K57" s="63"/>
      <c r="L57" s="63"/>
      <c r="M57" s="63"/>
      <c r="N57" s="63"/>
      <c r="O57" s="63"/>
      <c r="P57" s="63"/>
      <c r="Q57" s="63"/>
      <c r="R57" s="63"/>
      <c r="S57" s="63"/>
      <c r="T57" s="63"/>
      <c r="U57" s="64"/>
    </row>
  </sheetData>
  <mergeCells count="10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B38:U38"/>
    <mergeCell ref="B39:U39"/>
    <mergeCell ref="B40:U40"/>
    <mergeCell ref="B41:U41"/>
    <mergeCell ref="B42:U42"/>
    <mergeCell ref="B43:U43"/>
    <mergeCell ref="C30:H30"/>
    <mergeCell ref="I30:K30"/>
    <mergeCell ref="L30:O30"/>
    <mergeCell ref="B34:D34"/>
    <mergeCell ref="B35:D35"/>
    <mergeCell ref="B37:U37"/>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396</v>
      </c>
      <c r="D4" s="99" t="s">
        <v>397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398</v>
      </c>
      <c r="Q6" s="80"/>
      <c r="R6" s="21"/>
      <c r="S6" s="20" t="s">
        <v>22</v>
      </c>
      <c r="T6" s="80" t="s">
        <v>399</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400</v>
      </c>
      <c r="D11" s="73"/>
      <c r="E11" s="73"/>
      <c r="F11" s="73"/>
      <c r="G11" s="73"/>
      <c r="H11" s="73"/>
      <c r="I11" s="73" t="s">
        <v>46</v>
      </c>
      <c r="J11" s="73"/>
      <c r="K11" s="73"/>
      <c r="L11" s="73" t="s">
        <v>47</v>
      </c>
      <c r="M11" s="73"/>
      <c r="N11" s="73"/>
      <c r="O11" s="73"/>
      <c r="P11" s="27" t="s">
        <v>48</v>
      </c>
      <c r="Q11" s="27" t="s">
        <v>49</v>
      </c>
      <c r="R11" s="54">
        <v>12</v>
      </c>
      <c r="S11" s="54" t="s">
        <v>44</v>
      </c>
      <c r="T11" s="54" t="s">
        <v>44</v>
      </c>
      <c r="U11" s="28" t="str">
        <f>IF(ISERR((S11-T11)*100/S11+100),"N/A",(S11-T11)*100/S11+100)</f>
        <v>N/A</v>
      </c>
    </row>
    <row r="12" spans="1:34" ht="75" customHeight="1" thickBot="1" x14ac:dyDescent="0.25">
      <c r="A12" s="25"/>
      <c r="B12" s="29" t="s">
        <v>45</v>
      </c>
      <c r="C12" s="72" t="s">
        <v>45</v>
      </c>
      <c r="D12" s="72"/>
      <c r="E12" s="72"/>
      <c r="F12" s="72"/>
      <c r="G12" s="72"/>
      <c r="H12" s="72"/>
      <c r="I12" s="72" t="s">
        <v>401</v>
      </c>
      <c r="J12" s="72"/>
      <c r="K12" s="72"/>
      <c r="L12" s="72" t="s">
        <v>402</v>
      </c>
      <c r="M12" s="72"/>
      <c r="N12" s="72"/>
      <c r="O12" s="72"/>
      <c r="P12" s="30" t="s">
        <v>403</v>
      </c>
      <c r="Q12" s="30" t="s">
        <v>49</v>
      </c>
      <c r="R12" s="30">
        <v>30.16</v>
      </c>
      <c r="S12" s="30" t="s">
        <v>44</v>
      </c>
      <c r="T12" s="30" t="s">
        <v>44</v>
      </c>
      <c r="U12" s="32" t="str">
        <f>IF(ISERR((S12-T12)*100/S12+100),"N/A",(S12-T12)*100/S12+100)</f>
        <v>N/A</v>
      </c>
    </row>
    <row r="13" spans="1:34" ht="75" customHeight="1" thickTop="1" x14ac:dyDescent="0.2">
      <c r="A13" s="25"/>
      <c r="B13" s="26" t="s">
        <v>62</v>
      </c>
      <c r="C13" s="73" t="s">
        <v>404</v>
      </c>
      <c r="D13" s="73"/>
      <c r="E13" s="73"/>
      <c r="F13" s="73"/>
      <c r="G13" s="73"/>
      <c r="H13" s="73"/>
      <c r="I13" s="73" t="s">
        <v>405</v>
      </c>
      <c r="J13" s="73"/>
      <c r="K13" s="73"/>
      <c r="L13" s="73" t="s">
        <v>406</v>
      </c>
      <c r="M13" s="73"/>
      <c r="N13" s="73"/>
      <c r="O13" s="73"/>
      <c r="P13" s="27" t="s">
        <v>407</v>
      </c>
      <c r="Q13" s="27" t="s">
        <v>408</v>
      </c>
      <c r="R13" s="27">
        <v>5.42</v>
      </c>
      <c r="S13" s="27" t="s">
        <v>44</v>
      </c>
      <c r="T13" s="27" t="s">
        <v>44</v>
      </c>
      <c r="U13" s="28" t="str">
        <f t="shared" ref="U13:U26" si="0">IF(ISERR(T13/S13*100),"N/A",T13/S13*100)</f>
        <v>N/A</v>
      </c>
    </row>
    <row r="14" spans="1:34" ht="75" customHeight="1" thickBot="1" x14ac:dyDescent="0.25">
      <c r="A14" s="25"/>
      <c r="B14" s="29" t="s">
        <v>45</v>
      </c>
      <c r="C14" s="72" t="s">
        <v>45</v>
      </c>
      <c r="D14" s="72"/>
      <c r="E14" s="72"/>
      <c r="F14" s="72"/>
      <c r="G14" s="72"/>
      <c r="H14" s="72"/>
      <c r="I14" s="72" t="s">
        <v>409</v>
      </c>
      <c r="J14" s="72"/>
      <c r="K14" s="72"/>
      <c r="L14" s="72" t="s">
        <v>410</v>
      </c>
      <c r="M14" s="72"/>
      <c r="N14" s="72"/>
      <c r="O14" s="72"/>
      <c r="P14" s="30" t="s">
        <v>411</v>
      </c>
      <c r="Q14" s="30" t="s">
        <v>412</v>
      </c>
      <c r="R14" s="30">
        <v>93.37</v>
      </c>
      <c r="S14" s="30" t="s">
        <v>44</v>
      </c>
      <c r="T14" s="30" t="s">
        <v>44</v>
      </c>
      <c r="U14" s="32" t="str">
        <f t="shared" si="0"/>
        <v>N/A</v>
      </c>
    </row>
    <row r="15" spans="1:34" ht="75" customHeight="1" thickTop="1" x14ac:dyDescent="0.2">
      <c r="A15" s="25"/>
      <c r="B15" s="26" t="s">
        <v>71</v>
      </c>
      <c r="C15" s="73" t="s">
        <v>413</v>
      </c>
      <c r="D15" s="73"/>
      <c r="E15" s="73"/>
      <c r="F15" s="73"/>
      <c r="G15" s="73"/>
      <c r="H15" s="73"/>
      <c r="I15" s="73" t="s">
        <v>414</v>
      </c>
      <c r="J15" s="73"/>
      <c r="K15" s="73"/>
      <c r="L15" s="73" t="s">
        <v>415</v>
      </c>
      <c r="M15" s="73"/>
      <c r="N15" s="73"/>
      <c r="O15" s="73"/>
      <c r="P15" s="27" t="s">
        <v>48</v>
      </c>
      <c r="Q15" s="27" t="s">
        <v>139</v>
      </c>
      <c r="R15" s="27">
        <v>101</v>
      </c>
      <c r="S15" s="27">
        <v>101</v>
      </c>
      <c r="T15" s="27">
        <v>-8.73</v>
      </c>
      <c r="U15" s="28">
        <f t="shared" si="0"/>
        <v>-8.643564356435645</v>
      </c>
    </row>
    <row r="16" spans="1:34" ht="75" customHeight="1" x14ac:dyDescent="0.2">
      <c r="A16" s="25"/>
      <c r="B16" s="29" t="s">
        <v>45</v>
      </c>
      <c r="C16" s="72" t="s">
        <v>416</v>
      </c>
      <c r="D16" s="72"/>
      <c r="E16" s="72"/>
      <c r="F16" s="72"/>
      <c r="G16" s="72"/>
      <c r="H16" s="72"/>
      <c r="I16" s="72" t="s">
        <v>417</v>
      </c>
      <c r="J16" s="72"/>
      <c r="K16" s="72"/>
      <c r="L16" s="72" t="s">
        <v>418</v>
      </c>
      <c r="M16" s="72"/>
      <c r="N16" s="72"/>
      <c r="O16" s="72"/>
      <c r="P16" s="30" t="s">
        <v>419</v>
      </c>
      <c r="Q16" s="30" t="s">
        <v>139</v>
      </c>
      <c r="R16" s="30">
        <v>4</v>
      </c>
      <c r="S16" s="30">
        <v>4</v>
      </c>
      <c r="T16" s="30">
        <v>-3.27</v>
      </c>
      <c r="U16" s="32">
        <f t="shared" si="0"/>
        <v>-81.75</v>
      </c>
    </row>
    <row r="17" spans="1:22" ht="75" customHeight="1" thickBot="1" x14ac:dyDescent="0.25">
      <c r="A17" s="25"/>
      <c r="B17" s="29" t="s">
        <v>45</v>
      </c>
      <c r="C17" s="72" t="s">
        <v>420</v>
      </c>
      <c r="D17" s="72"/>
      <c r="E17" s="72"/>
      <c r="F17" s="72"/>
      <c r="G17" s="72"/>
      <c r="H17" s="72"/>
      <c r="I17" s="72" t="s">
        <v>421</v>
      </c>
      <c r="J17" s="72"/>
      <c r="K17" s="72"/>
      <c r="L17" s="72" t="s">
        <v>422</v>
      </c>
      <c r="M17" s="72"/>
      <c r="N17" s="72"/>
      <c r="O17" s="72"/>
      <c r="P17" s="30" t="s">
        <v>48</v>
      </c>
      <c r="Q17" s="30" t="s">
        <v>139</v>
      </c>
      <c r="R17" s="30">
        <v>3.51</v>
      </c>
      <c r="S17" s="30">
        <v>4</v>
      </c>
      <c r="T17" s="30">
        <v>-19.12</v>
      </c>
      <c r="U17" s="32">
        <f t="shared" si="0"/>
        <v>-478</v>
      </c>
    </row>
    <row r="18" spans="1:22" ht="75" customHeight="1" thickTop="1" x14ac:dyDescent="0.2">
      <c r="A18" s="25"/>
      <c r="B18" s="26" t="s">
        <v>87</v>
      </c>
      <c r="C18" s="73" t="s">
        <v>423</v>
      </c>
      <c r="D18" s="73"/>
      <c r="E18" s="73"/>
      <c r="F18" s="73"/>
      <c r="G18" s="73"/>
      <c r="H18" s="73"/>
      <c r="I18" s="73" t="s">
        <v>424</v>
      </c>
      <c r="J18" s="73"/>
      <c r="K18" s="73"/>
      <c r="L18" s="73" t="s">
        <v>425</v>
      </c>
      <c r="M18" s="73"/>
      <c r="N18" s="73"/>
      <c r="O18" s="73"/>
      <c r="P18" s="27" t="s">
        <v>48</v>
      </c>
      <c r="Q18" s="27" t="s">
        <v>91</v>
      </c>
      <c r="R18" s="27">
        <v>100</v>
      </c>
      <c r="S18" s="27">
        <v>89</v>
      </c>
      <c r="T18" s="27">
        <v>79.209999999999994</v>
      </c>
      <c r="U18" s="28">
        <f t="shared" si="0"/>
        <v>88.999999999999986</v>
      </c>
    </row>
    <row r="19" spans="1:22" ht="75" customHeight="1" x14ac:dyDescent="0.2">
      <c r="A19" s="25"/>
      <c r="B19" s="29" t="s">
        <v>45</v>
      </c>
      <c r="C19" s="72" t="s">
        <v>426</v>
      </c>
      <c r="D19" s="72"/>
      <c r="E19" s="72"/>
      <c r="F19" s="72"/>
      <c r="G19" s="72"/>
      <c r="H19" s="72"/>
      <c r="I19" s="72" t="s">
        <v>427</v>
      </c>
      <c r="J19" s="72"/>
      <c r="K19" s="72"/>
      <c r="L19" s="72" t="s">
        <v>428</v>
      </c>
      <c r="M19" s="72"/>
      <c r="N19" s="72"/>
      <c r="O19" s="72"/>
      <c r="P19" s="30" t="s">
        <v>48</v>
      </c>
      <c r="Q19" s="30" t="s">
        <v>91</v>
      </c>
      <c r="R19" s="30">
        <v>100</v>
      </c>
      <c r="S19" s="30">
        <v>85</v>
      </c>
      <c r="T19" s="30">
        <v>79.73</v>
      </c>
      <c r="U19" s="32">
        <f t="shared" si="0"/>
        <v>93.800000000000011</v>
      </c>
    </row>
    <row r="20" spans="1:22" ht="75" customHeight="1" x14ac:dyDescent="0.2">
      <c r="A20" s="25"/>
      <c r="B20" s="29" t="s">
        <v>45</v>
      </c>
      <c r="C20" s="72" t="s">
        <v>429</v>
      </c>
      <c r="D20" s="72"/>
      <c r="E20" s="72"/>
      <c r="F20" s="72"/>
      <c r="G20" s="72"/>
      <c r="H20" s="72"/>
      <c r="I20" s="72" t="s">
        <v>430</v>
      </c>
      <c r="J20" s="72"/>
      <c r="K20" s="72"/>
      <c r="L20" s="72" t="s">
        <v>431</v>
      </c>
      <c r="M20" s="72"/>
      <c r="N20" s="72"/>
      <c r="O20" s="72"/>
      <c r="P20" s="30" t="s">
        <v>48</v>
      </c>
      <c r="Q20" s="30" t="s">
        <v>91</v>
      </c>
      <c r="R20" s="30">
        <v>100</v>
      </c>
      <c r="S20" s="30">
        <v>89</v>
      </c>
      <c r="T20" s="30">
        <v>80.13</v>
      </c>
      <c r="U20" s="32">
        <f t="shared" si="0"/>
        <v>90.033707865168537</v>
      </c>
    </row>
    <row r="21" spans="1:22" ht="75" customHeight="1" x14ac:dyDescent="0.2">
      <c r="A21" s="25"/>
      <c r="B21" s="29" t="s">
        <v>45</v>
      </c>
      <c r="C21" s="72" t="s">
        <v>432</v>
      </c>
      <c r="D21" s="72"/>
      <c r="E21" s="72"/>
      <c r="F21" s="72"/>
      <c r="G21" s="72"/>
      <c r="H21" s="72"/>
      <c r="I21" s="72" t="s">
        <v>433</v>
      </c>
      <c r="J21" s="72"/>
      <c r="K21" s="72"/>
      <c r="L21" s="72" t="s">
        <v>434</v>
      </c>
      <c r="M21" s="72"/>
      <c r="N21" s="72"/>
      <c r="O21" s="72"/>
      <c r="P21" s="30" t="s">
        <v>48</v>
      </c>
      <c r="Q21" s="30" t="s">
        <v>91</v>
      </c>
      <c r="R21" s="30">
        <v>100</v>
      </c>
      <c r="S21" s="30">
        <v>87</v>
      </c>
      <c r="T21" s="30">
        <v>78.650000000000006</v>
      </c>
      <c r="U21" s="32">
        <f t="shared" si="0"/>
        <v>90.402298850574709</v>
      </c>
    </row>
    <row r="22" spans="1:22" ht="75" customHeight="1" x14ac:dyDescent="0.2">
      <c r="A22" s="25"/>
      <c r="B22" s="29" t="s">
        <v>45</v>
      </c>
      <c r="C22" s="72" t="s">
        <v>435</v>
      </c>
      <c r="D22" s="72"/>
      <c r="E22" s="72"/>
      <c r="F22" s="72"/>
      <c r="G22" s="72"/>
      <c r="H22" s="72"/>
      <c r="I22" s="72" t="s">
        <v>436</v>
      </c>
      <c r="J22" s="72"/>
      <c r="K22" s="72"/>
      <c r="L22" s="72" t="s">
        <v>437</v>
      </c>
      <c r="M22" s="72"/>
      <c r="N22" s="72"/>
      <c r="O22" s="72"/>
      <c r="P22" s="30" t="s">
        <v>48</v>
      </c>
      <c r="Q22" s="30" t="s">
        <v>91</v>
      </c>
      <c r="R22" s="30">
        <v>100</v>
      </c>
      <c r="S22" s="30">
        <v>85</v>
      </c>
      <c r="T22" s="30">
        <v>72.099999999999994</v>
      </c>
      <c r="U22" s="32">
        <f t="shared" si="0"/>
        <v>84.823529411764696</v>
      </c>
    </row>
    <row r="23" spans="1:22" ht="75" customHeight="1" x14ac:dyDescent="0.2">
      <c r="A23" s="25"/>
      <c r="B23" s="29" t="s">
        <v>45</v>
      </c>
      <c r="C23" s="72" t="s">
        <v>438</v>
      </c>
      <c r="D23" s="72"/>
      <c r="E23" s="72"/>
      <c r="F23" s="72"/>
      <c r="G23" s="72"/>
      <c r="H23" s="72"/>
      <c r="I23" s="72" t="s">
        <v>439</v>
      </c>
      <c r="J23" s="72"/>
      <c r="K23" s="72"/>
      <c r="L23" s="72" t="s">
        <v>440</v>
      </c>
      <c r="M23" s="72"/>
      <c r="N23" s="72"/>
      <c r="O23" s="72"/>
      <c r="P23" s="30" t="s">
        <v>441</v>
      </c>
      <c r="Q23" s="30" t="s">
        <v>442</v>
      </c>
      <c r="R23" s="30">
        <v>100</v>
      </c>
      <c r="S23" s="30">
        <v>66.67</v>
      </c>
      <c r="T23" s="30">
        <v>64.709999999999994</v>
      </c>
      <c r="U23" s="32">
        <f t="shared" si="0"/>
        <v>97.06014699265036</v>
      </c>
    </row>
    <row r="24" spans="1:22" ht="75" customHeight="1" x14ac:dyDescent="0.2">
      <c r="A24" s="25"/>
      <c r="B24" s="29" t="s">
        <v>45</v>
      </c>
      <c r="C24" s="72" t="s">
        <v>443</v>
      </c>
      <c r="D24" s="72"/>
      <c r="E24" s="72"/>
      <c r="F24" s="72"/>
      <c r="G24" s="72"/>
      <c r="H24" s="72"/>
      <c r="I24" s="72" t="s">
        <v>444</v>
      </c>
      <c r="J24" s="72"/>
      <c r="K24" s="72"/>
      <c r="L24" s="72" t="s">
        <v>445</v>
      </c>
      <c r="M24" s="72"/>
      <c r="N24" s="72"/>
      <c r="O24" s="72"/>
      <c r="P24" s="30" t="s">
        <v>407</v>
      </c>
      <c r="Q24" s="30" t="s">
        <v>91</v>
      </c>
      <c r="R24" s="30">
        <v>5</v>
      </c>
      <c r="S24" s="30">
        <v>4.41</v>
      </c>
      <c r="T24" s="30">
        <v>75.17</v>
      </c>
      <c r="U24" s="32">
        <f t="shared" si="0"/>
        <v>1704.5351473922904</v>
      </c>
    </row>
    <row r="25" spans="1:22" ht="75" customHeight="1" x14ac:dyDescent="0.2">
      <c r="A25" s="25"/>
      <c r="B25" s="29" t="s">
        <v>45</v>
      </c>
      <c r="C25" s="72" t="s">
        <v>446</v>
      </c>
      <c r="D25" s="72"/>
      <c r="E25" s="72"/>
      <c r="F25" s="72"/>
      <c r="G25" s="72"/>
      <c r="H25" s="72"/>
      <c r="I25" s="72" t="s">
        <v>447</v>
      </c>
      <c r="J25" s="72"/>
      <c r="K25" s="72"/>
      <c r="L25" s="72" t="s">
        <v>448</v>
      </c>
      <c r="M25" s="72"/>
      <c r="N25" s="72"/>
      <c r="O25" s="72"/>
      <c r="P25" s="30" t="s">
        <v>48</v>
      </c>
      <c r="Q25" s="30" t="s">
        <v>91</v>
      </c>
      <c r="R25" s="30">
        <v>22.22</v>
      </c>
      <c r="S25" s="30">
        <v>14.95</v>
      </c>
      <c r="T25" s="30">
        <v>16.18</v>
      </c>
      <c r="U25" s="32">
        <f t="shared" si="0"/>
        <v>108.22742474916389</v>
      </c>
    </row>
    <row r="26" spans="1:22" ht="75" customHeight="1" thickBot="1" x14ac:dyDescent="0.25">
      <c r="A26" s="25"/>
      <c r="B26" s="29" t="s">
        <v>45</v>
      </c>
      <c r="C26" s="72" t="s">
        <v>45</v>
      </c>
      <c r="D26" s="72"/>
      <c r="E26" s="72"/>
      <c r="F26" s="72"/>
      <c r="G26" s="72"/>
      <c r="H26" s="72"/>
      <c r="I26" s="72" t="s">
        <v>449</v>
      </c>
      <c r="J26" s="72"/>
      <c r="K26" s="72"/>
      <c r="L26" s="72" t="s">
        <v>450</v>
      </c>
      <c r="M26" s="72"/>
      <c r="N26" s="72"/>
      <c r="O26" s="72"/>
      <c r="P26" s="30" t="s">
        <v>451</v>
      </c>
      <c r="Q26" s="30" t="s">
        <v>91</v>
      </c>
      <c r="R26" s="30">
        <v>35.200000000000003</v>
      </c>
      <c r="S26" s="30">
        <v>25.38</v>
      </c>
      <c r="T26" s="30">
        <v>42.58</v>
      </c>
      <c r="U26" s="32">
        <f t="shared" si="0"/>
        <v>167.7698975571316</v>
      </c>
    </row>
    <row r="27" spans="1:22" ht="22.5" customHeight="1" thickTop="1" thickBot="1" x14ac:dyDescent="0.25">
      <c r="B27" s="8" t="s">
        <v>98</v>
      </c>
      <c r="C27" s="9"/>
      <c r="D27" s="9"/>
      <c r="E27" s="9"/>
      <c r="F27" s="9"/>
      <c r="G27" s="9"/>
      <c r="H27" s="10"/>
      <c r="I27" s="10"/>
      <c r="J27" s="10"/>
      <c r="K27" s="10"/>
      <c r="L27" s="10"/>
      <c r="M27" s="10"/>
      <c r="N27" s="10"/>
      <c r="O27" s="10"/>
      <c r="P27" s="10"/>
      <c r="Q27" s="10"/>
      <c r="R27" s="10"/>
      <c r="S27" s="10"/>
      <c r="T27" s="10"/>
      <c r="U27" s="11"/>
      <c r="V27" s="33"/>
    </row>
    <row r="28" spans="1:22" ht="26.25" customHeight="1" thickTop="1" x14ac:dyDescent="0.2">
      <c r="B28" s="34"/>
      <c r="C28" s="35"/>
      <c r="D28" s="35"/>
      <c r="E28" s="35"/>
      <c r="F28" s="35"/>
      <c r="G28" s="35"/>
      <c r="H28" s="36"/>
      <c r="I28" s="36"/>
      <c r="J28" s="36"/>
      <c r="K28" s="36"/>
      <c r="L28" s="36"/>
      <c r="M28" s="36"/>
      <c r="N28" s="36"/>
      <c r="O28" s="36"/>
      <c r="P28" s="37"/>
      <c r="Q28" s="38"/>
      <c r="R28" s="39" t="s">
        <v>99</v>
      </c>
      <c r="S28" s="22" t="s">
        <v>100</v>
      </c>
      <c r="T28" s="39" t="s">
        <v>101</v>
      </c>
      <c r="U28" s="22" t="s">
        <v>102</v>
      </c>
    </row>
    <row r="29" spans="1:22" ht="26.25" customHeight="1" thickBot="1" x14ac:dyDescent="0.25">
      <c r="B29" s="40"/>
      <c r="C29" s="41"/>
      <c r="D29" s="41"/>
      <c r="E29" s="41"/>
      <c r="F29" s="41"/>
      <c r="G29" s="41"/>
      <c r="H29" s="42"/>
      <c r="I29" s="42"/>
      <c r="J29" s="42"/>
      <c r="K29" s="42"/>
      <c r="L29" s="42"/>
      <c r="M29" s="42"/>
      <c r="N29" s="42"/>
      <c r="O29" s="42"/>
      <c r="P29" s="43"/>
      <c r="Q29" s="44"/>
      <c r="R29" s="45" t="s">
        <v>103</v>
      </c>
      <c r="S29" s="44" t="s">
        <v>103</v>
      </c>
      <c r="T29" s="44" t="s">
        <v>103</v>
      </c>
      <c r="U29" s="44" t="s">
        <v>104</v>
      </c>
    </row>
    <row r="30" spans="1:22" ht="13.5" customHeight="1" thickBot="1" x14ac:dyDescent="0.25">
      <c r="B30" s="65" t="s">
        <v>105</v>
      </c>
      <c r="C30" s="66"/>
      <c r="D30" s="66"/>
      <c r="E30" s="46"/>
      <c r="F30" s="46"/>
      <c r="G30" s="46"/>
      <c r="H30" s="47"/>
      <c r="I30" s="47"/>
      <c r="J30" s="47"/>
      <c r="K30" s="47"/>
      <c r="L30" s="47"/>
      <c r="M30" s="47"/>
      <c r="N30" s="47"/>
      <c r="O30" s="47"/>
      <c r="P30" s="48"/>
      <c r="Q30" s="48"/>
      <c r="R30" s="49">
        <f>2079.426279</f>
        <v>2079.4262789999998</v>
      </c>
      <c r="S30" s="49">
        <f>1422.372314</f>
        <v>1422.372314</v>
      </c>
      <c r="T30" s="49">
        <f>1252.83756798</f>
        <v>1252.8375679799999</v>
      </c>
      <c r="U30" s="50">
        <f>+IF(ISERR(T30/S30*100),"N/A",T30/S30*100)</f>
        <v>88.080846037896094</v>
      </c>
    </row>
    <row r="31" spans="1:22" ht="13.5" customHeight="1" thickBot="1" x14ac:dyDescent="0.25">
      <c r="B31" s="67" t="s">
        <v>106</v>
      </c>
      <c r="C31" s="68"/>
      <c r="D31" s="68"/>
      <c r="E31" s="51"/>
      <c r="F31" s="51"/>
      <c r="G31" s="51"/>
      <c r="H31" s="52"/>
      <c r="I31" s="52"/>
      <c r="J31" s="52"/>
      <c r="K31" s="52"/>
      <c r="L31" s="52"/>
      <c r="M31" s="52"/>
      <c r="N31" s="52"/>
      <c r="O31" s="52"/>
      <c r="P31" s="53"/>
      <c r="Q31" s="53"/>
      <c r="R31" s="49">
        <f>1940.810627</f>
        <v>1940.8106270000001</v>
      </c>
      <c r="S31" s="49">
        <f>1362.92872</f>
        <v>1362.9287200000001</v>
      </c>
      <c r="T31" s="49">
        <f>1252.83756798</f>
        <v>1252.8375679799999</v>
      </c>
      <c r="U31" s="50">
        <f>+IF(ISERR(T31/S31*100),"N/A",T31/S31*100)</f>
        <v>91.922457102525485</v>
      </c>
    </row>
    <row r="32" spans="1:22" ht="14.85" customHeight="1" thickTop="1" thickBot="1" x14ac:dyDescent="0.25">
      <c r="B32" s="8" t="s">
        <v>107</v>
      </c>
      <c r="C32" s="9"/>
      <c r="D32" s="9"/>
      <c r="E32" s="9"/>
      <c r="F32" s="9"/>
      <c r="G32" s="9"/>
      <c r="H32" s="10"/>
      <c r="I32" s="10"/>
      <c r="J32" s="10"/>
      <c r="K32" s="10"/>
      <c r="L32" s="10"/>
      <c r="M32" s="10"/>
      <c r="N32" s="10"/>
      <c r="O32" s="10"/>
      <c r="P32" s="10"/>
      <c r="Q32" s="10"/>
      <c r="R32" s="10"/>
      <c r="S32" s="10"/>
      <c r="T32" s="10"/>
      <c r="U32" s="11"/>
    </row>
    <row r="33" spans="2:21" ht="44.25" customHeight="1" thickTop="1" x14ac:dyDescent="0.2">
      <c r="B33" s="69" t="s">
        <v>108</v>
      </c>
      <c r="C33" s="70"/>
      <c r="D33" s="70"/>
      <c r="E33" s="70"/>
      <c r="F33" s="70"/>
      <c r="G33" s="70"/>
      <c r="H33" s="70"/>
      <c r="I33" s="70"/>
      <c r="J33" s="70"/>
      <c r="K33" s="70"/>
      <c r="L33" s="70"/>
      <c r="M33" s="70"/>
      <c r="N33" s="70"/>
      <c r="O33" s="70"/>
      <c r="P33" s="70"/>
      <c r="Q33" s="70"/>
      <c r="R33" s="70"/>
      <c r="S33" s="70"/>
      <c r="T33" s="70"/>
      <c r="U33" s="71"/>
    </row>
    <row r="34" spans="2:21" ht="34.5" customHeight="1" x14ac:dyDescent="0.2">
      <c r="B34" s="59" t="s">
        <v>110</v>
      </c>
      <c r="C34" s="60"/>
      <c r="D34" s="60"/>
      <c r="E34" s="60"/>
      <c r="F34" s="60"/>
      <c r="G34" s="60"/>
      <c r="H34" s="60"/>
      <c r="I34" s="60"/>
      <c r="J34" s="60"/>
      <c r="K34" s="60"/>
      <c r="L34" s="60"/>
      <c r="M34" s="60"/>
      <c r="N34" s="60"/>
      <c r="O34" s="60"/>
      <c r="P34" s="60"/>
      <c r="Q34" s="60"/>
      <c r="R34" s="60"/>
      <c r="S34" s="60"/>
      <c r="T34" s="60"/>
      <c r="U34" s="61"/>
    </row>
    <row r="35" spans="2:21" ht="34.5" customHeight="1" x14ac:dyDescent="0.2">
      <c r="B35" s="59" t="s">
        <v>452</v>
      </c>
      <c r="C35" s="60"/>
      <c r="D35" s="60"/>
      <c r="E35" s="60"/>
      <c r="F35" s="60"/>
      <c r="G35" s="60"/>
      <c r="H35" s="60"/>
      <c r="I35" s="60"/>
      <c r="J35" s="60"/>
      <c r="K35" s="60"/>
      <c r="L35" s="60"/>
      <c r="M35" s="60"/>
      <c r="N35" s="60"/>
      <c r="O35" s="60"/>
      <c r="P35" s="60"/>
      <c r="Q35" s="60"/>
      <c r="R35" s="60"/>
      <c r="S35" s="60"/>
      <c r="T35" s="60"/>
      <c r="U35" s="61"/>
    </row>
    <row r="36" spans="2:21" ht="34.5" customHeight="1" x14ac:dyDescent="0.2">
      <c r="B36" s="59" t="s">
        <v>453</v>
      </c>
      <c r="C36" s="60"/>
      <c r="D36" s="60"/>
      <c r="E36" s="60"/>
      <c r="F36" s="60"/>
      <c r="G36" s="60"/>
      <c r="H36" s="60"/>
      <c r="I36" s="60"/>
      <c r="J36" s="60"/>
      <c r="K36" s="60"/>
      <c r="L36" s="60"/>
      <c r="M36" s="60"/>
      <c r="N36" s="60"/>
      <c r="O36" s="60"/>
      <c r="P36" s="60"/>
      <c r="Q36" s="60"/>
      <c r="R36" s="60"/>
      <c r="S36" s="60"/>
      <c r="T36" s="60"/>
      <c r="U36" s="61"/>
    </row>
    <row r="37" spans="2:21" ht="34.5" customHeight="1" x14ac:dyDescent="0.2">
      <c r="B37" s="59" t="s">
        <v>454</v>
      </c>
      <c r="C37" s="60"/>
      <c r="D37" s="60"/>
      <c r="E37" s="60"/>
      <c r="F37" s="60"/>
      <c r="G37" s="60"/>
      <c r="H37" s="60"/>
      <c r="I37" s="60"/>
      <c r="J37" s="60"/>
      <c r="K37" s="60"/>
      <c r="L37" s="60"/>
      <c r="M37" s="60"/>
      <c r="N37" s="60"/>
      <c r="O37" s="60"/>
      <c r="P37" s="60"/>
      <c r="Q37" s="60"/>
      <c r="R37" s="60"/>
      <c r="S37" s="60"/>
      <c r="T37" s="60"/>
      <c r="U37" s="61"/>
    </row>
    <row r="38" spans="2:21" ht="178.35" customHeight="1" x14ac:dyDescent="0.2">
      <c r="B38" s="59" t="s">
        <v>455</v>
      </c>
      <c r="C38" s="60"/>
      <c r="D38" s="60"/>
      <c r="E38" s="60"/>
      <c r="F38" s="60"/>
      <c r="G38" s="60"/>
      <c r="H38" s="60"/>
      <c r="I38" s="60"/>
      <c r="J38" s="60"/>
      <c r="K38" s="60"/>
      <c r="L38" s="60"/>
      <c r="M38" s="60"/>
      <c r="N38" s="60"/>
      <c r="O38" s="60"/>
      <c r="P38" s="60"/>
      <c r="Q38" s="60"/>
      <c r="R38" s="60"/>
      <c r="S38" s="60"/>
      <c r="T38" s="60"/>
      <c r="U38" s="61"/>
    </row>
    <row r="39" spans="2:21" ht="82.35" customHeight="1" x14ac:dyDescent="0.2">
      <c r="B39" s="59" t="s">
        <v>456</v>
      </c>
      <c r="C39" s="60"/>
      <c r="D39" s="60"/>
      <c r="E39" s="60"/>
      <c r="F39" s="60"/>
      <c r="G39" s="60"/>
      <c r="H39" s="60"/>
      <c r="I39" s="60"/>
      <c r="J39" s="60"/>
      <c r="K39" s="60"/>
      <c r="L39" s="60"/>
      <c r="M39" s="60"/>
      <c r="N39" s="60"/>
      <c r="O39" s="60"/>
      <c r="P39" s="60"/>
      <c r="Q39" s="60"/>
      <c r="R39" s="60"/>
      <c r="S39" s="60"/>
      <c r="T39" s="60"/>
      <c r="U39" s="61"/>
    </row>
    <row r="40" spans="2:21" ht="75.599999999999994" customHeight="1" x14ac:dyDescent="0.2">
      <c r="B40" s="59" t="s">
        <v>457</v>
      </c>
      <c r="C40" s="60"/>
      <c r="D40" s="60"/>
      <c r="E40" s="60"/>
      <c r="F40" s="60"/>
      <c r="G40" s="60"/>
      <c r="H40" s="60"/>
      <c r="I40" s="60"/>
      <c r="J40" s="60"/>
      <c r="K40" s="60"/>
      <c r="L40" s="60"/>
      <c r="M40" s="60"/>
      <c r="N40" s="60"/>
      <c r="O40" s="60"/>
      <c r="P40" s="60"/>
      <c r="Q40" s="60"/>
      <c r="R40" s="60"/>
      <c r="S40" s="60"/>
      <c r="T40" s="60"/>
      <c r="U40" s="61"/>
    </row>
    <row r="41" spans="2:21" ht="139.35" customHeight="1" x14ac:dyDescent="0.2">
      <c r="B41" s="59" t="s">
        <v>458</v>
      </c>
      <c r="C41" s="60"/>
      <c r="D41" s="60"/>
      <c r="E41" s="60"/>
      <c r="F41" s="60"/>
      <c r="G41" s="60"/>
      <c r="H41" s="60"/>
      <c r="I41" s="60"/>
      <c r="J41" s="60"/>
      <c r="K41" s="60"/>
      <c r="L41" s="60"/>
      <c r="M41" s="60"/>
      <c r="N41" s="60"/>
      <c r="O41" s="60"/>
      <c r="P41" s="60"/>
      <c r="Q41" s="60"/>
      <c r="R41" s="60"/>
      <c r="S41" s="60"/>
      <c r="T41" s="60"/>
      <c r="U41" s="61"/>
    </row>
    <row r="42" spans="2:21" ht="138.19999999999999" customHeight="1" x14ac:dyDescent="0.2">
      <c r="B42" s="59" t="s">
        <v>459</v>
      </c>
      <c r="C42" s="60"/>
      <c r="D42" s="60"/>
      <c r="E42" s="60"/>
      <c r="F42" s="60"/>
      <c r="G42" s="60"/>
      <c r="H42" s="60"/>
      <c r="I42" s="60"/>
      <c r="J42" s="60"/>
      <c r="K42" s="60"/>
      <c r="L42" s="60"/>
      <c r="M42" s="60"/>
      <c r="N42" s="60"/>
      <c r="O42" s="60"/>
      <c r="P42" s="60"/>
      <c r="Q42" s="60"/>
      <c r="R42" s="60"/>
      <c r="S42" s="60"/>
      <c r="T42" s="60"/>
      <c r="U42" s="61"/>
    </row>
    <row r="43" spans="2:21" ht="147.19999999999999" customHeight="1" x14ac:dyDescent="0.2">
      <c r="B43" s="59" t="s">
        <v>460</v>
      </c>
      <c r="C43" s="60"/>
      <c r="D43" s="60"/>
      <c r="E43" s="60"/>
      <c r="F43" s="60"/>
      <c r="G43" s="60"/>
      <c r="H43" s="60"/>
      <c r="I43" s="60"/>
      <c r="J43" s="60"/>
      <c r="K43" s="60"/>
      <c r="L43" s="60"/>
      <c r="M43" s="60"/>
      <c r="N43" s="60"/>
      <c r="O43" s="60"/>
      <c r="P43" s="60"/>
      <c r="Q43" s="60"/>
      <c r="R43" s="60"/>
      <c r="S43" s="60"/>
      <c r="T43" s="60"/>
      <c r="U43" s="61"/>
    </row>
    <row r="44" spans="2:21" ht="179.45" customHeight="1" x14ac:dyDescent="0.2">
      <c r="B44" s="59" t="s">
        <v>461</v>
      </c>
      <c r="C44" s="60"/>
      <c r="D44" s="60"/>
      <c r="E44" s="60"/>
      <c r="F44" s="60"/>
      <c r="G44" s="60"/>
      <c r="H44" s="60"/>
      <c r="I44" s="60"/>
      <c r="J44" s="60"/>
      <c r="K44" s="60"/>
      <c r="L44" s="60"/>
      <c r="M44" s="60"/>
      <c r="N44" s="60"/>
      <c r="O44" s="60"/>
      <c r="P44" s="60"/>
      <c r="Q44" s="60"/>
      <c r="R44" s="60"/>
      <c r="S44" s="60"/>
      <c r="T44" s="60"/>
      <c r="U44" s="61"/>
    </row>
    <row r="45" spans="2:21" ht="149.25" customHeight="1" x14ac:dyDescent="0.2">
      <c r="B45" s="59" t="s">
        <v>462</v>
      </c>
      <c r="C45" s="60"/>
      <c r="D45" s="60"/>
      <c r="E45" s="60"/>
      <c r="F45" s="60"/>
      <c r="G45" s="60"/>
      <c r="H45" s="60"/>
      <c r="I45" s="60"/>
      <c r="J45" s="60"/>
      <c r="K45" s="60"/>
      <c r="L45" s="60"/>
      <c r="M45" s="60"/>
      <c r="N45" s="60"/>
      <c r="O45" s="60"/>
      <c r="P45" s="60"/>
      <c r="Q45" s="60"/>
      <c r="R45" s="60"/>
      <c r="S45" s="60"/>
      <c r="T45" s="60"/>
      <c r="U45" s="61"/>
    </row>
    <row r="46" spans="2:21" ht="44.85" customHeight="1" x14ac:dyDescent="0.2">
      <c r="B46" s="59" t="s">
        <v>463</v>
      </c>
      <c r="C46" s="60"/>
      <c r="D46" s="60"/>
      <c r="E46" s="60"/>
      <c r="F46" s="60"/>
      <c r="G46" s="60"/>
      <c r="H46" s="60"/>
      <c r="I46" s="60"/>
      <c r="J46" s="60"/>
      <c r="K46" s="60"/>
      <c r="L46" s="60"/>
      <c r="M46" s="60"/>
      <c r="N46" s="60"/>
      <c r="O46" s="60"/>
      <c r="P46" s="60"/>
      <c r="Q46" s="60"/>
      <c r="R46" s="60"/>
      <c r="S46" s="60"/>
      <c r="T46" s="60"/>
      <c r="U46" s="61"/>
    </row>
    <row r="47" spans="2:21" ht="74.849999999999994" customHeight="1" x14ac:dyDescent="0.2">
      <c r="B47" s="59" t="s">
        <v>464</v>
      </c>
      <c r="C47" s="60"/>
      <c r="D47" s="60"/>
      <c r="E47" s="60"/>
      <c r="F47" s="60"/>
      <c r="G47" s="60"/>
      <c r="H47" s="60"/>
      <c r="I47" s="60"/>
      <c r="J47" s="60"/>
      <c r="K47" s="60"/>
      <c r="L47" s="60"/>
      <c r="M47" s="60"/>
      <c r="N47" s="60"/>
      <c r="O47" s="60"/>
      <c r="P47" s="60"/>
      <c r="Q47" s="60"/>
      <c r="R47" s="60"/>
      <c r="S47" s="60"/>
      <c r="T47" s="60"/>
      <c r="U47" s="61"/>
    </row>
    <row r="48" spans="2:21" ht="55.5" customHeight="1" x14ac:dyDescent="0.2">
      <c r="B48" s="59" t="s">
        <v>465</v>
      </c>
      <c r="C48" s="60"/>
      <c r="D48" s="60"/>
      <c r="E48" s="60"/>
      <c r="F48" s="60"/>
      <c r="G48" s="60"/>
      <c r="H48" s="60"/>
      <c r="I48" s="60"/>
      <c r="J48" s="60"/>
      <c r="K48" s="60"/>
      <c r="L48" s="60"/>
      <c r="M48" s="60"/>
      <c r="N48" s="60"/>
      <c r="O48" s="60"/>
      <c r="P48" s="60"/>
      <c r="Q48" s="60"/>
      <c r="R48" s="60"/>
      <c r="S48" s="60"/>
      <c r="T48" s="60"/>
      <c r="U48" s="61"/>
    </row>
    <row r="49" spans="2:21" ht="52.35" customHeight="1" thickBot="1" x14ac:dyDescent="0.25">
      <c r="B49" s="62" t="s">
        <v>466</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584</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467</v>
      </c>
      <c r="D4" s="99" t="s">
        <v>468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469</v>
      </c>
      <c r="Q6" s="80"/>
      <c r="R6" s="21"/>
      <c r="S6" s="20" t="s">
        <v>22</v>
      </c>
      <c r="T6" s="80" t="s">
        <v>470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471</v>
      </c>
      <c r="D11" s="73"/>
      <c r="E11" s="73"/>
      <c r="F11" s="73"/>
      <c r="G11" s="73"/>
      <c r="H11" s="73"/>
      <c r="I11" s="73" t="s">
        <v>472</v>
      </c>
      <c r="J11" s="73"/>
      <c r="K11" s="73"/>
      <c r="L11" s="73" t="s">
        <v>473</v>
      </c>
      <c r="M11" s="73"/>
      <c r="N11" s="73"/>
      <c r="O11" s="73"/>
      <c r="P11" s="27" t="s">
        <v>48</v>
      </c>
      <c r="Q11" s="27" t="s">
        <v>43</v>
      </c>
      <c r="R11" s="27">
        <v>6.91</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474</v>
      </c>
      <c r="J12" s="72"/>
      <c r="K12" s="72"/>
      <c r="L12" s="72" t="s">
        <v>475</v>
      </c>
      <c r="M12" s="72"/>
      <c r="N12" s="72"/>
      <c r="O12" s="72"/>
      <c r="P12" s="30" t="s">
        <v>476</v>
      </c>
      <c r="Q12" s="30" t="s">
        <v>43</v>
      </c>
      <c r="R12" s="31">
        <v>65</v>
      </c>
      <c r="S12" s="31" t="s">
        <v>44</v>
      </c>
      <c r="T12" s="31" t="s">
        <v>44</v>
      </c>
      <c r="U12" s="32" t="str">
        <f>IF(ISERR(T12/S12*100),"N/A",T12/S12*100)</f>
        <v>N/A</v>
      </c>
    </row>
    <row r="13" spans="1:34" ht="75" customHeight="1" thickTop="1" thickBot="1" x14ac:dyDescent="0.25">
      <c r="A13" s="25"/>
      <c r="B13" s="26" t="s">
        <v>62</v>
      </c>
      <c r="C13" s="73" t="s">
        <v>477</v>
      </c>
      <c r="D13" s="73"/>
      <c r="E13" s="73"/>
      <c r="F13" s="73"/>
      <c r="G13" s="73"/>
      <c r="H13" s="73"/>
      <c r="I13" s="73" t="s">
        <v>478</v>
      </c>
      <c r="J13" s="73"/>
      <c r="K13" s="73"/>
      <c r="L13" s="73" t="s">
        <v>479</v>
      </c>
      <c r="M13" s="73"/>
      <c r="N13" s="73"/>
      <c r="O13" s="73"/>
      <c r="P13" s="27" t="s">
        <v>48</v>
      </c>
      <c r="Q13" s="27" t="s">
        <v>43</v>
      </c>
      <c r="R13" s="27">
        <v>99</v>
      </c>
      <c r="S13" s="27" t="s">
        <v>44</v>
      </c>
      <c r="T13" s="27" t="s">
        <v>44</v>
      </c>
      <c r="U13" s="28" t="str">
        <f>IF(ISERR(T13/S13*100),"N/A",T13/S13*100)</f>
        <v>N/A</v>
      </c>
    </row>
    <row r="14" spans="1:34" ht="75" customHeight="1" thickTop="1" thickBot="1" x14ac:dyDescent="0.25">
      <c r="A14" s="25"/>
      <c r="B14" s="26" t="s">
        <v>71</v>
      </c>
      <c r="C14" s="73" t="s">
        <v>480</v>
      </c>
      <c r="D14" s="73"/>
      <c r="E14" s="73"/>
      <c r="F14" s="73"/>
      <c r="G14" s="73"/>
      <c r="H14" s="73"/>
      <c r="I14" s="73" t="s">
        <v>481</v>
      </c>
      <c r="J14" s="73"/>
      <c r="K14" s="73"/>
      <c r="L14" s="73" t="s">
        <v>482</v>
      </c>
      <c r="M14" s="73"/>
      <c r="N14" s="73"/>
      <c r="O14" s="73"/>
      <c r="P14" s="27" t="s">
        <v>48</v>
      </c>
      <c r="Q14" s="27" t="s">
        <v>75</v>
      </c>
      <c r="R14" s="27">
        <v>97</v>
      </c>
      <c r="S14" s="27">
        <v>97</v>
      </c>
      <c r="T14" s="27">
        <v>98.48</v>
      </c>
      <c r="U14" s="28">
        <f>IF(ISERR(T14/S14*100),"N/A",T14/S14*100)</f>
        <v>101.5257731958763</v>
      </c>
    </row>
    <row r="15" spans="1:34" ht="75" customHeight="1" thickTop="1" thickBot="1" x14ac:dyDescent="0.25">
      <c r="A15" s="25"/>
      <c r="B15" s="26" t="s">
        <v>87</v>
      </c>
      <c r="C15" s="73" t="s">
        <v>483</v>
      </c>
      <c r="D15" s="73"/>
      <c r="E15" s="73"/>
      <c r="F15" s="73"/>
      <c r="G15" s="73"/>
      <c r="H15" s="73"/>
      <c r="I15" s="73" t="s">
        <v>484</v>
      </c>
      <c r="J15" s="73"/>
      <c r="K15" s="73"/>
      <c r="L15" s="73" t="s">
        <v>485</v>
      </c>
      <c r="M15" s="73"/>
      <c r="N15" s="73"/>
      <c r="O15" s="73"/>
      <c r="P15" s="27" t="s">
        <v>48</v>
      </c>
      <c r="Q15" s="27" t="s">
        <v>291</v>
      </c>
      <c r="R15" s="27">
        <v>98</v>
      </c>
      <c r="S15" s="27">
        <v>98</v>
      </c>
      <c r="T15" s="27">
        <v>98.27</v>
      </c>
      <c r="U15" s="28">
        <f>IF(ISERR(T15/S15*100),"N/A",T15/S15*100)</f>
        <v>100.27551020408163</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266214.252087</f>
        <v>266214.252087</v>
      </c>
      <c r="S19" s="49">
        <f>183997.720678</f>
        <v>183997.72067800001</v>
      </c>
      <c r="T19" s="49">
        <f>190919.47152897</f>
        <v>190919.47152897</v>
      </c>
      <c r="U19" s="50">
        <f>+IF(ISERR(T19/S19*100),"N/A",T19/S19*100)</f>
        <v>103.76186771524371</v>
      </c>
    </row>
    <row r="20" spans="2:21" ht="13.5" customHeight="1" thickBot="1" x14ac:dyDescent="0.25">
      <c r="B20" s="67" t="s">
        <v>106</v>
      </c>
      <c r="C20" s="68"/>
      <c r="D20" s="68"/>
      <c r="E20" s="51"/>
      <c r="F20" s="51"/>
      <c r="G20" s="51"/>
      <c r="H20" s="52"/>
      <c r="I20" s="52"/>
      <c r="J20" s="52"/>
      <c r="K20" s="52"/>
      <c r="L20" s="52"/>
      <c r="M20" s="52"/>
      <c r="N20" s="52"/>
      <c r="O20" s="52"/>
      <c r="P20" s="53"/>
      <c r="Q20" s="53"/>
      <c r="R20" s="49">
        <f>275581.259061</f>
        <v>275581.25906100002</v>
      </c>
      <c r="S20" s="49">
        <f>190384.057065</f>
        <v>190384.057065</v>
      </c>
      <c r="T20" s="49">
        <f>190919.47152897</f>
        <v>190919.47152897</v>
      </c>
      <c r="U20" s="50">
        <f>+IF(ISERR(T20/S20*100),"N/A",T20/S20*100)</f>
        <v>100.28122862398463</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486</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487</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488</v>
      </c>
      <c r="C25" s="60"/>
      <c r="D25" s="60"/>
      <c r="E25" s="60"/>
      <c r="F25" s="60"/>
      <c r="G25" s="60"/>
      <c r="H25" s="60"/>
      <c r="I25" s="60"/>
      <c r="J25" s="60"/>
      <c r="K25" s="60"/>
      <c r="L25" s="60"/>
      <c r="M25" s="60"/>
      <c r="N25" s="60"/>
      <c r="O25" s="60"/>
      <c r="P25" s="60"/>
      <c r="Q25" s="60"/>
      <c r="R25" s="60"/>
      <c r="S25" s="60"/>
      <c r="T25" s="60"/>
      <c r="U25" s="61"/>
    </row>
    <row r="26" spans="2:21" ht="33.950000000000003" customHeight="1" x14ac:dyDescent="0.2">
      <c r="B26" s="59" t="s">
        <v>489</v>
      </c>
      <c r="C26" s="60"/>
      <c r="D26" s="60"/>
      <c r="E26" s="60"/>
      <c r="F26" s="60"/>
      <c r="G26" s="60"/>
      <c r="H26" s="60"/>
      <c r="I26" s="60"/>
      <c r="J26" s="60"/>
      <c r="K26" s="60"/>
      <c r="L26" s="60"/>
      <c r="M26" s="60"/>
      <c r="N26" s="60"/>
      <c r="O26" s="60"/>
      <c r="P26" s="60"/>
      <c r="Q26" s="60"/>
      <c r="R26" s="60"/>
      <c r="S26" s="60"/>
      <c r="T26" s="60"/>
      <c r="U26" s="61"/>
    </row>
    <row r="27" spans="2:21" ht="24.2" customHeight="1" thickBot="1" x14ac:dyDescent="0.25">
      <c r="B27" s="62" t="s">
        <v>490</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2019-10-18T23:53:11Z</dcterms:modified>
</cp:coreProperties>
</file>